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" windowWidth="12384" windowHeight="6720"/>
  </bookViews>
  <sheets>
    <sheet name="Fondo2014Riall.fine2014D.492" sheetId="16" r:id="rId1"/>
    <sheet name="RIPART.FINALE 2014-Det.492-14" sheetId="17" r:id="rId2"/>
    <sheet name="FONDO 2014 iniziale det.7-14" sheetId="1" r:id="rId3"/>
    <sheet name="ripart provv iniz2014det.7-14" sheetId="15" r:id="rId4"/>
    <sheet name="aran 2014" sheetId="3" r:id="rId5"/>
    <sheet name="no LED 98" sheetId="4" r:id="rId6"/>
    <sheet name="monte salari 1997" sheetId="9" r:id="rId7"/>
    <sheet name="monte salari 1999" sheetId="10" r:id="rId8"/>
    <sheet name="monte salari 2001" sheetId="8" r:id="rId9"/>
    <sheet name="monte salari 2003" sheetId="6" r:id="rId10"/>
    <sheet name="monte salari 2005" sheetId="7" r:id="rId11"/>
    <sheet name="monte salari 2007" sheetId="5" r:id="rId12"/>
    <sheet name="progr 08" sheetId="11" r:id="rId13"/>
    <sheet name="Foglio10" sheetId="12" r:id="rId14"/>
    <sheet name="Foglio11" sheetId="13" r:id="rId15"/>
  </sheets>
  <externalReferences>
    <externalReference r:id="rId16"/>
    <externalReference r:id="rId17"/>
  </externalReferences>
  <definedNames>
    <definedName name="_xlnm.Print_Area" localSheetId="2">'FONDO 2014 iniziale det.7-14'!$B$1:$N$60</definedName>
    <definedName name="_xlnm.Print_Area" localSheetId="0">Fondo2014Riall.fine2014D.492!$B$1:$N$60</definedName>
    <definedName name="_xlnm.Print_Area" localSheetId="12">'progr 08'!$B$1:$F$56</definedName>
    <definedName name="_xlnm.Print_Area" localSheetId="3">'ripart provv iniz2014det.7-14'!$A$1:$I$67</definedName>
    <definedName name="_xlnm.Print_Area" localSheetId="1">'RIPART.FINALE 2014-Det.492-14'!$B$1:$K$70</definedName>
    <definedName name="as" localSheetId="0">'[1]cpdel ruolo'!#REF!</definedName>
    <definedName name="as" localSheetId="3">'[1]cpdel ruolo'!#REF!</definedName>
    <definedName name="as" localSheetId="1">'[1]cpdel ruolo'!#REF!</definedName>
    <definedName name="as">'[1]cpdel ruolo'!#REF!</definedName>
    <definedName name="contr_c.e." localSheetId="0">#REF!</definedName>
    <definedName name="contr_c.e." localSheetId="3">#REF!</definedName>
    <definedName name="contr_c.e." localSheetId="1">#REF!</definedName>
    <definedName name="contr_c.e.">#REF!</definedName>
    <definedName name="contributi_tfr_edili" localSheetId="0">+#REF!</definedName>
    <definedName name="contributi_tfr_edili" localSheetId="3">+#REF!</definedName>
    <definedName name="contributi_tfr_edili" localSheetId="1">+#REF!</definedName>
    <definedName name="contributi_tfr_edili">+#REF!</definedName>
    <definedName name="cpdel_0.35_arr" localSheetId="0">'[1]cpdel ruolo'!#REF!</definedName>
    <definedName name="cpdel_0.35_arr" localSheetId="3">'[1]cpdel ruolo'!#REF!</definedName>
    <definedName name="cpdel_0.35_arr" localSheetId="1">'[1]cpdel ruolo'!#REF!</definedName>
    <definedName name="cpdel_0.35_arr">'[1]cpdel ruolo'!#REF!</definedName>
    <definedName name="cpdel_0.35_edili" localSheetId="0">#REF!</definedName>
    <definedName name="cpdel_0.35_edili" localSheetId="3">#REF!</definedName>
    <definedName name="cpdel_0.35_edili" localSheetId="1">#REF!</definedName>
    <definedName name="cpdel_0.35_edili">#REF!</definedName>
    <definedName name="cpdel_32.35_arr" localSheetId="0">'[1]cpdel ruolo'!#REF!</definedName>
    <definedName name="cpdel_32.35_arr" localSheetId="3">'[1]cpdel ruolo'!#REF!</definedName>
    <definedName name="cpdel_32.35_arr" localSheetId="1">'[1]cpdel ruolo'!#REF!</definedName>
    <definedName name="cpdel_32.35_arr">'[1]cpdel ruolo'!#REF!</definedName>
    <definedName name="cpdel_32.35_edili" localSheetId="0">#REF!</definedName>
    <definedName name="cpdel_32.35_edili" localSheetId="3">#REF!</definedName>
    <definedName name="cpdel_32.35_edili" localSheetId="1">#REF!</definedName>
    <definedName name="cpdel_32.35_edili">#REF!</definedName>
    <definedName name="imponibile_cpdel_arr" localSheetId="0">'[1]cpdel ruolo'!#REF!</definedName>
    <definedName name="imponibile_cpdel_arr" localSheetId="3">'[1]cpdel ruolo'!#REF!</definedName>
    <definedName name="imponibile_cpdel_arr" localSheetId="1">'[1]cpdel ruolo'!#REF!</definedName>
    <definedName name="imponibile_cpdel_arr">'[1]cpdel ruolo'!#REF!</definedName>
    <definedName name="imponibile_cpdel_edili" localSheetId="0">#REF!</definedName>
    <definedName name="imponibile_cpdel_edili" localSheetId="3">#REF!</definedName>
    <definedName name="imponibile_cpdel_edili" localSheetId="1">#REF!</definedName>
    <definedName name="imponibile_cpdel_edili">#REF!</definedName>
    <definedName name="imponibile_inadel" localSheetId="0">#REF!</definedName>
    <definedName name="imponibile_inadel" localSheetId="3">#REF!</definedName>
    <definedName name="imponibile_inadel" localSheetId="1">#REF!</definedName>
    <definedName name="imponibile_inadel">#REF!</definedName>
    <definedName name="imponibile_tfr" localSheetId="0">#REF!</definedName>
    <definedName name="imponibile_tfr" localSheetId="3">#REF!</definedName>
    <definedName name="imponibile_tfr" localSheetId="1">#REF!</definedName>
    <definedName name="imponibile_tfr">#REF!</definedName>
    <definedName name="imponibile_tfr_dip" localSheetId="0">#REF!</definedName>
    <definedName name="imponibile_tfr_dip" localSheetId="3">#REF!</definedName>
    <definedName name="imponibile_tfr_dip" localSheetId="1">#REF!</definedName>
    <definedName name="imponibile_tfr_dip">#REF!</definedName>
    <definedName name="imponibile_tfr_edili" localSheetId="0">#REF!</definedName>
    <definedName name="imponibile_tfr_edili" localSheetId="3">#REF!</definedName>
    <definedName name="imponibile_tfr_edili" localSheetId="1">#REF!</definedName>
    <definedName name="imponibile_tfr_edili">#REF!</definedName>
    <definedName name="inadel_contributi" localSheetId="0">#REF!</definedName>
    <definedName name="inadel_contributi" localSheetId="3">#REF!</definedName>
    <definedName name="inadel_contributi" localSheetId="1">#REF!</definedName>
    <definedName name="inadel_contributi">#REF!</definedName>
    <definedName name="personale_2005" localSheetId="10">'monte salari 2005'!$A$3:$J$42</definedName>
    <definedName name="QUALIFICA" localSheetId="0">#REF!</definedName>
    <definedName name="QUALIFICA" localSheetId="3">#REF!</definedName>
    <definedName name="QUALIFICA" localSheetId="1">#REF!</definedName>
    <definedName name="QUALIFICA">#REF!</definedName>
    <definedName name="TABELLA" localSheetId="0">#REF!</definedName>
    <definedName name="TABELLA" localSheetId="3">#REF!</definedName>
    <definedName name="TABELLA" localSheetId="1">#REF!</definedName>
    <definedName name="TABELLA">#REF!</definedName>
    <definedName name="tabellari_segretario" localSheetId="0">#REF!</definedName>
    <definedName name="tabellari_segretario" localSheetId="3">#REF!</definedName>
    <definedName name="tabellari_segretario" localSheetId="1">#REF!</definedName>
    <definedName name="tabellari_segretario">#REF!</definedName>
    <definedName name="tfr_contributi_dip" localSheetId="0">#REF!</definedName>
    <definedName name="tfr_contributi_dip" localSheetId="3">#REF!</definedName>
    <definedName name="tfr_contributi_dip" localSheetId="1">#REF!</definedName>
    <definedName name="tfr_contributi_dip">#REF!</definedName>
    <definedName name="tfr_contributi_edili" localSheetId="0">#REF!</definedName>
    <definedName name="tfr_contributi_edili" localSheetId="3">#REF!</definedName>
    <definedName name="tfr_contributi_edili" localSheetId="1">#REF!</definedName>
    <definedName name="tfr_contributi_edili">#REF!</definedName>
  </definedNames>
  <calcPr calcId="125725"/>
</workbook>
</file>

<file path=xl/calcChain.xml><?xml version="1.0" encoding="utf-8"?>
<calcChain xmlns="http://schemas.openxmlformats.org/spreadsheetml/2006/main">
  <c r="K54" i="16"/>
  <c r="L65" i="17"/>
  <c r="L64"/>
  <c r="L63"/>
  <c r="E66"/>
  <c r="D66"/>
  <c r="H65"/>
  <c r="G65"/>
  <c r="F65"/>
  <c r="G31" l="1"/>
  <c r="G9"/>
  <c r="F32" l="1"/>
  <c r="F31"/>
  <c r="F23"/>
  <c r="E38"/>
  <c r="E46"/>
  <c r="E41"/>
  <c r="E50" s="1"/>
  <c r="D36"/>
  <c r="E32"/>
  <c r="E31"/>
  <c r="E30"/>
  <c r="E29"/>
  <c r="D28"/>
  <c r="E28" s="1"/>
  <c r="D27"/>
  <c r="E27" s="1"/>
  <c r="E26"/>
  <c r="E23"/>
  <c r="E22"/>
  <c r="D21"/>
  <c r="E21" s="1"/>
  <c r="E18"/>
  <c r="E17"/>
  <c r="E16"/>
  <c r="E15"/>
  <c r="E13"/>
  <c r="E11"/>
  <c r="E10"/>
  <c r="D9"/>
  <c r="E9" s="1"/>
  <c r="D8"/>
  <c r="E8" s="1"/>
  <c r="J4"/>
  <c r="J65"/>
  <c r="I64"/>
  <c r="H64"/>
  <c r="G64"/>
  <c r="F64"/>
  <c r="I63"/>
  <c r="H63"/>
  <c r="H66" s="1"/>
  <c r="G63"/>
  <c r="G66" s="1"/>
  <c r="F63"/>
  <c r="F66" s="1"/>
  <c r="J58"/>
  <c r="I57"/>
  <c r="H57"/>
  <c r="G57"/>
  <c r="F57"/>
  <c r="I56"/>
  <c r="H56"/>
  <c r="G56"/>
  <c r="F56"/>
  <c r="J46"/>
  <c r="I46"/>
  <c r="H46"/>
  <c r="G46"/>
  <c r="F46"/>
  <c r="D46"/>
  <c r="I45"/>
  <c r="J41"/>
  <c r="I41"/>
  <c r="I50" s="1"/>
  <c r="H41"/>
  <c r="G41"/>
  <c r="G50" s="1"/>
  <c r="F41"/>
  <c r="D41"/>
  <c r="D50" s="1"/>
  <c r="I40"/>
  <c r="J38"/>
  <c r="I38"/>
  <c r="H38"/>
  <c r="G38"/>
  <c r="F38"/>
  <c r="D38"/>
  <c r="I35"/>
  <c r="I42" s="1"/>
  <c r="J34"/>
  <c r="F55" i="16"/>
  <c r="H43"/>
  <c r="J54" s="1"/>
  <c r="D15" i="17" l="1"/>
  <c r="K46"/>
  <c r="F33"/>
  <c r="F35" s="1"/>
  <c r="J50"/>
  <c r="F50"/>
  <c r="H50"/>
  <c r="E25"/>
  <c r="F37"/>
  <c r="D25"/>
  <c r="G33"/>
  <c r="I47"/>
  <c r="J64"/>
  <c r="D7"/>
  <c r="D20"/>
  <c r="E33"/>
  <c r="E20"/>
  <c r="E7"/>
  <c r="K50"/>
  <c r="J56"/>
  <c r="J57"/>
  <c r="G45"/>
  <c r="G47" s="1"/>
  <c r="G40"/>
  <c r="G35"/>
  <c r="F45"/>
  <c r="F47" s="1"/>
  <c r="F40"/>
  <c r="I49"/>
  <c r="K41"/>
  <c r="I43"/>
  <c r="I51"/>
  <c r="F54" i="1"/>
  <c r="F54" i="16"/>
  <c r="G54"/>
  <c r="G53"/>
  <c r="H44"/>
  <c r="H42"/>
  <c r="H40"/>
  <c r="H39"/>
  <c r="H38"/>
  <c r="G46"/>
  <c r="G32"/>
  <c r="F32"/>
  <c r="F30"/>
  <c r="G29" s="1"/>
  <c r="H29" s="1"/>
  <c r="G26"/>
  <c r="H26" s="1"/>
  <c r="G23"/>
  <c r="H23" s="1"/>
  <c r="F21"/>
  <c r="G18"/>
  <c r="H18" s="1"/>
  <c r="J14"/>
  <c r="J12"/>
  <c r="J10"/>
  <c r="F10"/>
  <c r="F16" s="1"/>
  <c r="J9"/>
  <c r="G8"/>
  <c r="H8" s="1"/>
  <c r="H31" s="1"/>
  <c r="I54" i="1"/>
  <c r="J39"/>
  <c r="H64" i="15"/>
  <c r="G63"/>
  <c r="F63"/>
  <c r="E63"/>
  <c r="D63"/>
  <c r="G62"/>
  <c r="F62"/>
  <c r="E62"/>
  <c r="D62"/>
  <c r="H57"/>
  <c r="G56"/>
  <c r="F56"/>
  <c r="E56"/>
  <c r="D56"/>
  <c r="G55"/>
  <c r="F55"/>
  <c r="E55"/>
  <c r="D55"/>
  <c r="H45"/>
  <c r="G45"/>
  <c r="F45"/>
  <c r="E45"/>
  <c r="D45"/>
  <c r="C45"/>
  <c r="I45" s="1"/>
  <c r="G44"/>
  <c r="C44"/>
  <c r="C46" s="1"/>
  <c r="H40"/>
  <c r="G40"/>
  <c r="G49" s="1"/>
  <c r="F40"/>
  <c r="F49" s="1"/>
  <c r="E40"/>
  <c r="E49" s="1"/>
  <c r="D40"/>
  <c r="D49" s="1"/>
  <c r="C40"/>
  <c r="I40" s="1"/>
  <c r="G39"/>
  <c r="C39"/>
  <c r="H37"/>
  <c r="G37"/>
  <c r="F37"/>
  <c r="E37"/>
  <c r="D37"/>
  <c r="C37"/>
  <c r="G35"/>
  <c r="G41" s="1"/>
  <c r="C35"/>
  <c r="C41" s="1"/>
  <c r="H34"/>
  <c r="H49" s="1"/>
  <c r="D32"/>
  <c r="E31"/>
  <c r="D31"/>
  <c r="D25"/>
  <c r="E9"/>
  <c r="D33" l="1"/>
  <c r="H62"/>
  <c r="E35" i="17"/>
  <c r="E40"/>
  <c r="E45"/>
  <c r="E37"/>
  <c r="H33" s="1"/>
  <c r="G37"/>
  <c r="D33"/>
  <c r="D45" s="1"/>
  <c r="D47" s="1"/>
  <c r="F42"/>
  <c r="G42"/>
  <c r="F43"/>
  <c r="G55" i="16"/>
  <c r="G56" s="1"/>
  <c r="H45"/>
  <c r="H46"/>
  <c r="H47" s="1"/>
  <c r="J31"/>
  <c r="H48"/>
  <c r="G31"/>
  <c r="G33" s="1"/>
  <c r="H33" s="1"/>
  <c r="H49" s="1"/>
  <c r="F56"/>
  <c r="F45"/>
  <c r="E33" i="15"/>
  <c r="C48"/>
  <c r="C49"/>
  <c r="I49" s="1"/>
  <c r="H63"/>
  <c r="G48"/>
  <c r="G46"/>
  <c r="H55"/>
  <c r="H56"/>
  <c r="E35"/>
  <c r="E44"/>
  <c r="E46" s="1"/>
  <c r="E39"/>
  <c r="D44"/>
  <c r="D46" s="1"/>
  <c r="D39"/>
  <c r="D35"/>
  <c r="C42"/>
  <c r="C50" s="1"/>
  <c r="G42"/>
  <c r="G50" s="1"/>
  <c r="E47" i="17" l="1"/>
  <c r="D40"/>
  <c r="F51"/>
  <c r="F68" s="1"/>
  <c r="F49"/>
  <c r="J33"/>
  <c r="H40"/>
  <c r="K40" s="1"/>
  <c r="E42"/>
  <c r="D35"/>
  <c r="D42" s="1"/>
  <c r="J37"/>
  <c r="G43"/>
  <c r="H35"/>
  <c r="J35" s="1"/>
  <c r="H45"/>
  <c r="K45" s="1"/>
  <c r="J47" i="16"/>
  <c r="G34"/>
  <c r="H34" s="1"/>
  <c r="G57"/>
  <c r="G45"/>
  <c r="G49"/>
  <c r="F57" s="1"/>
  <c r="D41" i="15"/>
  <c r="F33"/>
  <c r="E41"/>
  <c r="E48" s="1"/>
  <c r="D42"/>
  <c r="D50" s="1"/>
  <c r="D43" i="17" l="1"/>
  <c r="D51" s="1"/>
  <c r="D49"/>
  <c r="E43"/>
  <c r="E49" s="1"/>
  <c r="E51" s="1"/>
  <c r="E68" s="1"/>
  <c r="G51"/>
  <c r="G68" s="1"/>
  <c r="G49"/>
  <c r="H42"/>
  <c r="K42" s="1"/>
  <c r="J45"/>
  <c r="J47" s="1"/>
  <c r="J40"/>
  <c r="K35"/>
  <c r="H47"/>
  <c r="K47"/>
  <c r="G48" i="16"/>
  <c r="G50" s="1"/>
  <c r="G47"/>
  <c r="H56"/>
  <c r="J33"/>
  <c r="J49" s="1"/>
  <c r="H50"/>
  <c r="E42" i="15"/>
  <c r="E50" s="1"/>
  <c r="D48"/>
  <c r="F44"/>
  <c r="F39"/>
  <c r="F35"/>
  <c r="H33"/>
  <c r="H43" i="17" l="1"/>
  <c r="J42"/>
  <c r="K43"/>
  <c r="K52" s="1"/>
  <c r="J52" i="16"/>
  <c r="J53" s="1"/>
  <c r="J57"/>
  <c r="H53"/>
  <c r="H57"/>
  <c r="H44" i="15"/>
  <c r="H46" s="1"/>
  <c r="H39"/>
  <c r="I35"/>
  <c r="C58" s="1"/>
  <c r="F46"/>
  <c r="I44"/>
  <c r="I46" s="1"/>
  <c r="F41"/>
  <c r="H35"/>
  <c r="I39"/>
  <c r="K49" i="17" l="1"/>
  <c r="H51"/>
  <c r="H68" s="1"/>
  <c r="H49"/>
  <c r="K51" s="1"/>
  <c r="J43"/>
  <c r="H41" i="15"/>
  <c r="H48" s="1"/>
  <c r="I41"/>
  <c r="F48"/>
  <c r="I48" s="1"/>
  <c r="I50" s="1"/>
  <c r="I42"/>
  <c r="I51" s="1"/>
  <c r="F42"/>
  <c r="F50" s="1"/>
  <c r="H42"/>
  <c r="H50" s="1"/>
  <c r="J51" i="17" l="1"/>
  <c r="J68" s="1"/>
  <c r="J49"/>
  <c r="G32" i="1"/>
  <c r="F32"/>
  <c r="F13" i="3" l="1"/>
  <c r="F15" s="1"/>
  <c r="F45" i="1"/>
  <c r="F55" s="1"/>
  <c r="C48" i="11"/>
  <c r="D48" s="1"/>
  <c r="C47"/>
  <c r="D47" s="1"/>
  <c r="C46"/>
  <c r="D46" s="1"/>
  <c r="C45"/>
  <c r="D45" s="1"/>
  <c r="C44"/>
  <c r="D44" s="1"/>
  <c r="C43"/>
  <c r="C36"/>
  <c r="D36" s="1"/>
  <c r="C35"/>
  <c r="D35" s="1"/>
  <c r="C34"/>
  <c r="D34" s="1"/>
  <c r="C33"/>
  <c r="D33" s="1"/>
  <c r="C32"/>
  <c r="D32" s="1"/>
  <c r="C31"/>
  <c r="C24"/>
  <c r="D24" s="1"/>
  <c r="C23"/>
  <c r="D23" s="1"/>
  <c r="C22"/>
  <c r="C16"/>
  <c r="D16" s="1"/>
  <c r="C15"/>
  <c r="D15" s="1"/>
  <c r="C14"/>
  <c r="D14" s="1"/>
  <c r="C13"/>
  <c r="D13" s="1"/>
  <c r="C12"/>
  <c r="D12" s="1"/>
  <c r="C11"/>
  <c r="D11" s="1"/>
  <c r="C10"/>
  <c r="D9"/>
  <c r="E40" i="10"/>
  <c r="D42" s="1"/>
  <c r="D40"/>
  <c r="E32" i="9"/>
  <c r="D34" s="1"/>
  <c r="G9"/>
  <c r="D9" s="1"/>
  <c r="D32" s="1"/>
  <c r="E40" i="8"/>
  <c r="D43" s="1"/>
  <c r="D40"/>
  <c r="H3" i="7"/>
  <c r="J3" s="1"/>
  <c r="D38" i="6"/>
  <c r="D39" s="1"/>
  <c r="D10"/>
  <c r="F32" i="5"/>
  <c r="C32"/>
  <c r="F33" s="1"/>
  <c r="C19"/>
  <c r="D19" s="1"/>
  <c r="C30" i="4"/>
  <c r="D30" s="1"/>
  <c r="C29"/>
  <c r="D29" s="1"/>
  <c r="E29" s="1"/>
  <c r="C27"/>
  <c r="D27" s="1"/>
  <c r="E27" s="1"/>
  <c r="C26"/>
  <c r="D26" s="1"/>
  <c r="E26" s="1"/>
  <c r="C25"/>
  <c r="D25" s="1"/>
  <c r="E25" s="1"/>
  <c r="C24"/>
  <c r="D24" s="1"/>
  <c r="E24" s="1"/>
  <c r="C23"/>
  <c r="D23" s="1"/>
  <c r="C22"/>
  <c r="D22" s="1"/>
  <c r="C21"/>
  <c r="D21" s="1"/>
  <c r="E21" s="1"/>
  <c r="C18"/>
  <c r="D18" s="1"/>
  <c r="C17"/>
  <c r="D17" s="1"/>
  <c r="C16"/>
  <c r="D16" s="1"/>
  <c r="C14"/>
  <c r="D14" s="1"/>
  <c r="C12"/>
  <c r="D12" s="1"/>
  <c r="E12" s="1"/>
  <c r="E32" s="1"/>
  <c r="C11"/>
  <c r="D11" s="1"/>
  <c r="C9"/>
  <c r="D9" s="1"/>
  <c r="C8"/>
  <c r="D8" s="1"/>
  <c r="C7"/>
  <c r="D7" s="1"/>
  <c r="C6"/>
  <c r="D6" s="1"/>
  <c r="C5"/>
  <c r="C32" s="1"/>
  <c r="C33" s="1"/>
  <c r="H40" i="7" l="1"/>
  <c r="C17" i="11"/>
  <c r="C37"/>
  <c r="I3" i="7"/>
  <c r="I40" s="1"/>
  <c r="J43" s="1"/>
  <c r="J40"/>
  <c r="J42" s="1"/>
  <c r="D5" i="4"/>
  <c r="C49" i="11"/>
  <c r="C25"/>
  <c r="D10"/>
  <c r="D17" s="1"/>
  <c r="D22"/>
  <c r="D25" s="1"/>
  <c r="D31"/>
  <c r="D37" s="1"/>
  <c r="D43"/>
  <c r="D49" s="1"/>
  <c r="D35" i="9"/>
  <c r="D42" i="8"/>
  <c r="D44" s="1"/>
  <c r="D40" i="6"/>
  <c r="D41" s="1"/>
  <c r="D20" i="5"/>
  <c r="D21"/>
  <c r="D22" l="1"/>
  <c r="J44" i="7"/>
  <c r="D51" i="11"/>
  <c r="D54" s="1"/>
  <c r="D43" i="6"/>
  <c r="D42"/>
  <c r="J46" i="7" l="1"/>
  <c r="J47"/>
  <c r="J45"/>
  <c r="D52" i="11"/>
  <c r="D57" s="1"/>
  <c r="D44" i="6"/>
  <c r="F10" i="1"/>
  <c r="F43" i="3" l="1"/>
  <c r="E43"/>
  <c r="D43"/>
  <c r="C43"/>
  <c r="E44" s="1"/>
  <c r="B43"/>
  <c r="F34"/>
  <c r="E34"/>
  <c r="D34"/>
  <c r="D35" s="1"/>
  <c r="C34"/>
  <c r="B34"/>
  <c r="B35" s="1"/>
  <c r="F26"/>
  <c r="E26"/>
  <c r="D26"/>
  <c r="C26"/>
  <c r="B26"/>
  <c r="E15"/>
  <c r="D15"/>
  <c r="C15"/>
  <c r="B15"/>
  <c r="G47" i="1"/>
  <c r="I46" s="1"/>
  <c r="I12"/>
  <c r="K32"/>
  <c r="J43"/>
  <c r="F35" i="3" l="1"/>
  <c r="F36" s="1"/>
  <c r="F38" s="1"/>
  <c r="C35"/>
  <c r="C36" s="1"/>
  <c r="C38" s="1"/>
  <c r="E35"/>
  <c r="E36" s="1"/>
  <c r="E38" s="1"/>
  <c r="B36"/>
  <c r="B38" s="1"/>
  <c r="D36"/>
  <c r="D38" s="1"/>
  <c r="C48"/>
  <c r="E45"/>
  <c r="E39" s="1"/>
  <c r="D48"/>
  <c r="D44"/>
  <c r="D45" s="1"/>
  <c r="F44"/>
  <c r="F45" s="1"/>
  <c r="C44"/>
  <c r="C45" s="1"/>
  <c r="I10" i="1"/>
  <c r="I9"/>
  <c r="E48" i="3" l="1"/>
  <c r="F48"/>
  <c r="E49"/>
  <c r="C39"/>
  <c r="C49"/>
  <c r="C47"/>
  <c r="D49"/>
  <c r="D47"/>
  <c r="D39"/>
  <c r="F49"/>
  <c r="F47"/>
  <c r="F39"/>
  <c r="E47"/>
  <c r="G54" i="1" l="1"/>
  <c r="I14" l="1"/>
  <c r="I31" l="1"/>
  <c r="I51" l="1"/>
  <c r="F46" l="1"/>
  <c r="G23"/>
  <c r="F30"/>
  <c r="G29" s="1"/>
  <c r="F21"/>
  <c r="G18"/>
  <c r="G26"/>
  <c r="G8"/>
  <c r="G31" s="1"/>
  <c r="I33" l="1"/>
  <c r="G33"/>
  <c r="G46"/>
  <c r="F48"/>
  <c r="G49"/>
  <c r="K56"/>
  <c r="F56"/>
  <c r="F16"/>
  <c r="I36" l="1"/>
  <c r="I44"/>
  <c r="L44" s="1"/>
  <c r="G50"/>
  <c r="F57" s="1"/>
  <c r="K58"/>
  <c r="L56"/>
  <c r="L58" s="1"/>
  <c r="G51"/>
  <c r="I50"/>
  <c r="M59" l="1"/>
  <c r="M56"/>
  <c r="M58"/>
  <c r="I52"/>
</calcChain>
</file>

<file path=xl/comments1.xml><?xml version="1.0" encoding="utf-8"?>
<comments xmlns="http://schemas.openxmlformats.org/spreadsheetml/2006/main">
  <authors>
    <author xml:space="preserve"> </author>
    <author>Bonaria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Resp.serv.:che li ha quantificati nel 2010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 xml:space="preserve">Bonaria
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 che li ha quantificati nel 2010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 che li ha quantificati nel 2010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Resp.serv.:che li ha quantificati nel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 che li ha quantificati nel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Resp.serv.:che li ha quantificati nel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2" authorId="0">
      <text>
        <r>
          <rPr>
            <b/>
            <sz val="8"/>
            <color indexed="81"/>
            <rFont val="Tahoma"/>
            <family val="2"/>
          </rPr>
          <t xml:space="preserve"> :IMPORTO INIZ.1740,45 SOMME NON IMPEGNATE:non utilizzate SU CAP. 96/FONDO/S</t>
        </r>
      </text>
    </comment>
    <comment ref="H43" authorId="0">
      <text>
        <r>
          <rPr>
            <sz val="8"/>
            <color indexed="81"/>
            <rFont val="Tahoma"/>
            <family val="2"/>
          </rPr>
          <t xml:space="preserve">importo tott.11.117,33 DA 3 atti dell'utc: utilizzato-impegnato in cap. 94/spesa: munito di visto 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 xml:space="preserve"> :I</t>
        </r>
        <r>
          <rPr>
            <sz val="8"/>
            <color indexed="81"/>
            <rFont val="Tahoma"/>
            <family val="2"/>
          </rPr>
          <t>MPORTO INIZ.3000,00
(0,00:SOMME NON IMPEGNATE:non utilizzate)</t>
        </r>
      </text>
    </comment>
    <comment ref="H47" authorId="1">
      <text>
        <r>
          <rPr>
            <sz val="9"/>
            <color indexed="81"/>
            <rFont val="Tahoma"/>
            <family val="2"/>
          </rPr>
          <t xml:space="preserve">NB: Tot. di 36.529,97: di cui 26.505,64 non vinc.(RAS/20.000 + 6505,64/Monte sal.99) E 11.177,33/VINC./INCENT.UTC 
</t>
        </r>
      </text>
    </comment>
    <comment ref="H52" authorId="1">
      <text>
        <r>
          <rPr>
            <sz val="9"/>
            <color indexed="81"/>
            <rFont val="Tahoma"/>
            <family val="2"/>
          </rPr>
          <t>nb: Il fondo 2014 (106.938,24) rispetta i vincoli di legge in quanto inferiore a quello opportunamente ridotto per 4.355,05 sul 2010</t>
        </r>
      </text>
    </comment>
    <comment ref="H56" authorId="1">
      <text>
        <r>
          <rPr>
            <sz val="9"/>
            <color indexed="81"/>
            <rFont val="Tahoma"/>
            <family val="2"/>
          </rPr>
          <t xml:space="preserve">verifica diff. Tra valore massimo iniziale e finale è uguale alla diff. Tra somme a dest. Vinc. iniziali e finali =12.388,42
</t>
        </r>
      </text>
    </comment>
    <comment ref="H57" authorId="1">
      <text>
        <r>
          <rPr>
            <sz val="9"/>
            <color indexed="81"/>
            <rFont val="Tahoma"/>
            <family val="2"/>
          </rPr>
          <t xml:space="preserve">Tot. ENTRATA
</t>
        </r>
      </text>
    </comment>
    <comment ref="J57" authorId="1">
      <text>
        <r>
          <rPr>
            <sz val="9"/>
            <color indexed="81"/>
            <rFont val="Tahoma"/>
            <family val="2"/>
          </rPr>
          <t xml:space="preserve">Tot. SPESA
</t>
        </r>
      </text>
    </comment>
  </commentList>
</comments>
</file>

<file path=xl/comments2.xml><?xml version="1.0" encoding="utf-8"?>
<comments xmlns="http://schemas.openxmlformats.org/spreadsheetml/2006/main">
  <authors>
    <author>Bonaria</author>
  </authors>
  <commentList>
    <comment ref="H33" authorId="0">
      <text>
        <r>
          <rPr>
            <sz val="7.5"/>
            <color indexed="81"/>
            <rFont val="Tahoma"/>
            <family val="2"/>
          </rPr>
          <t>NB: 7.770,43= (17.268,43+ 953,07 +5.619,52 +spostamento da minori spese:+731,57 +126,93 +723,10) o +75,70da magg. Disp.all. A:si rinvia ad allegato A)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  <author>Bonaria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Resp.serv.:che li ha quantificati nel 2010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 xml:space="preserve">Bonaria
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 che li ha quantificati nel 2010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 che li ha quantificati nel 2010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Resp.serv.:che li ha quantificati nel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 che li ha quantificati nel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Bonaria: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7"/>
            <color indexed="81"/>
            <rFont val="Tahoma"/>
            <family val="2"/>
          </rPr>
          <t>desunto da 2010 ed inserito in unico importo consolidato su indicazioni Resp.serv.:che li ha quantificati nel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1">
      <text>
        <r>
          <rPr>
            <b/>
            <sz val="9"/>
            <color indexed="81"/>
            <rFont val="Tahoma"/>
            <family val="2"/>
          </rPr>
          <t>art. 9 c.2 bis?</t>
        </r>
      </text>
    </comment>
    <comment ref="B56" authorId="1">
      <text>
        <r>
          <rPr>
            <b/>
            <sz val="9"/>
            <color indexed="81"/>
            <rFont val="Tahoma"/>
            <family val="2"/>
          </rPr>
          <t>art. 9 c.2 bis?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F13" authorId="0">
      <text>
        <r>
          <rPr>
            <b/>
            <sz val="8"/>
            <color indexed="81"/>
            <rFont val="Tahoma"/>
            <family val="2"/>
          </rPr>
          <t xml:space="preserve"> :+318,96 da RIA CESSAZIONE ANGHELEDDU (in pensione dal 30,12,2013)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 xml:space="preserve"> :-318,96 per differenza tra fondo 2014 e fondo 2013 - parte fissa</t>
        </r>
      </text>
    </comment>
  </commentList>
</comments>
</file>

<file path=xl/connections.xml><?xml version="1.0" encoding="utf-8"?>
<connections xmlns="http://schemas.openxmlformats.org/spreadsheetml/2006/main">
  <connection id="1" name="personale 2005" type="6" refreshedVersion="2" background="1" saveData="1">
    <textPr codePage="850" firstRow="77" sourceFile="F:\Documenti\PERSONALE 2005\personale 2005.txt" delimited="0" decimal="," thousands=".">
      <textFields count="18">
        <textField/>
        <textField position="9"/>
        <textField position="18"/>
        <textField position="27"/>
        <textField position="38"/>
        <textField position="49"/>
        <textField position="51"/>
        <textField position="58"/>
        <textField position="62"/>
        <textField position="67"/>
        <textField position="78"/>
        <textField position="98"/>
        <textField position="119"/>
        <textField position="140"/>
        <textField position="161"/>
        <textField position="182"/>
        <textField position="203"/>
        <textField position="224"/>
      </textFields>
    </textPr>
  </connection>
</connections>
</file>

<file path=xl/sharedStrings.xml><?xml version="1.0" encoding="utf-8"?>
<sst xmlns="http://schemas.openxmlformats.org/spreadsheetml/2006/main" count="785" uniqueCount="436">
  <si>
    <t>DESCRIZIONE</t>
  </si>
  <si>
    <t xml:space="preserve">IMPORTI PARZIALI </t>
  </si>
  <si>
    <t>IMPORTI TOTALI</t>
  </si>
  <si>
    <t>di cui:</t>
  </si>
  <si>
    <t>IMPORTO</t>
  </si>
  <si>
    <t>NOTE</t>
  </si>
  <si>
    <t>note</t>
  </si>
  <si>
    <t>UNICO IMPORTO CONSOLIDATO ANNO 2003 (Art. 31 c.2 CCNL 02-05) -(determinato nei decorsi esercizi)</t>
  </si>
  <si>
    <t>RIDUZIONI DA DEDURRE DALLE RISORSE STABILI: QUANTIFICATE NEI PRECEDENTI ESERCIZI</t>
  </si>
  <si>
    <t xml:space="preserve">A) RISORSE AVENTI CARATTERE DI CERTEZZA E STABILITA' </t>
  </si>
  <si>
    <t>B) RISORSE EVENTUALI E VARIABILI</t>
  </si>
  <si>
    <t>Attività per conto dell'Istat su entrate attualmente alloccate sul cap. 2601/partite di giro - non assoggettate a vincoli ex art. 9 c.bis L:162/10 e ss.mm.</t>
  </si>
  <si>
    <t>TOTALE COMPLESSIVO FONDO 2010</t>
  </si>
  <si>
    <t xml:space="preserve">VALORE MASSIMO TEORICO FONDO ANNO CORRENTE (NEL RISPETTO DELL'ART. 9 C.2/BIS LEGGE 122/2010) </t>
  </si>
  <si>
    <t>RIEPILOGO COSTITUZIONE FONDI PER LA CONTRATTAZIONE INTEGRATIVA (*)</t>
  </si>
  <si>
    <t>Economie  personale quiescenza RIA (art. 4 c. 2 CCNL 5/10/2001)     - Tot.</t>
  </si>
  <si>
    <t xml:space="preserve">RIA ED ASS. AD PERSONAM PERSONALE CESSATO ED IN QUIESCENZA - RIA (ART. 4 C.2 CCNL 00-01): </t>
  </si>
  <si>
    <t xml:space="preserve">Totali parziali:  a)/ b) </t>
  </si>
  <si>
    <t xml:space="preserve">b) Risparmi applicazione art. 14 c.4 CCNL 1998/2001(straordinario) </t>
  </si>
  <si>
    <t>INCREMENTI CCNL 06-09  -   (ART. 8.  cc.  2,5,6,7 parte fissa):</t>
  </si>
  <si>
    <t>INCREMENTI CCNL 04-05   -  (ART. 4.  cc.  1-4-5 parte fissa):</t>
  </si>
  <si>
    <t>d) Increm.0,52% monte salari 1997 (art. 15 lett.J CCNL 1998/2001)</t>
  </si>
  <si>
    <t>Tot.riduzioni da dedurre dalla parte stabile</t>
  </si>
  <si>
    <t>Risorse non vincolate:</t>
  </si>
  <si>
    <t>TOTALE</t>
  </si>
  <si>
    <t xml:space="preserve"> </t>
  </si>
  <si>
    <t>Totale risorse fisse  (aventi carattere di certezza e stabilità)</t>
  </si>
  <si>
    <t>TOTALE COMPLESSIVO FONDO iniziale M.S. 2014</t>
  </si>
  <si>
    <t>IL RESP. DEL PROCEDIMENTO</t>
  </si>
  <si>
    <t>IL RESP. DEL SERVIZIO</t>
  </si>
  <si>
    <t>Integrazione dati su importi a destinazione vincolata effettiv. Accertati/utilizzati</t>
  </si>
  <si>
    <r>
      <t>Reinquadramento vigili UU:</t>
    </r>
    <r>
      <rPr>
        <sz val="8"/>
        <color theme="1"/>
        <rFont val="Calibri"/>
        <family val="2"/>
        <scheme val="minor"/>
      </rPr>
      <t>già indicati storic.a carico del fondo in anni precc.: 73,85</t>
    </r>
  </si>
  <si>
    <t>Indennità personale in servizio:  cat. B- (64,56*6=387,36)  diminuite delle cassazioni(ex A.S.: 64,56*5=322,80)</t>
  </si>
  <si>
    <r>
      <t>TOTALE COMPLESSIVO FONDO INIZIALE 2014 (</t>
    </r>
    <r>
      <rPr>
        <b/>
        <sz val="9"/>
        <rFont val="Arial"/>
        <family val="2"/>
      </rPr>
      <t>con somme vincolate di parte variabile su previsioni e non su accertamenti)</t>
    </r>
  </si>
  <si>
    <t>verif. Iniz.su previs.di bil.</t>
  </si>
  <si>
    <t>verif. finale.su accert/impegni finali</t>
  </si>
  <si>
    <r>
      <t xml:space="preserve">Risorse a destinazione specifica - </t>
    </r>
    <r>
      <rPr>
        <sz val="10"/>
        <rFont val="Arial"/>
        <family val="2"/>
      </rPr>
      <t>previsioni:</t>
    </r>
  </si>
  <si>
    <t>importi ulilizzati</t>
  </si>
  <si>
    <t>a) Ex. Art. 31 c.c.n.l. 94/97  (art. 15 lett. a) - 32.000,42 - 1.260,31 ex personale ATA)</t>
  </si>
  <si>
    <t>B7</t>
  </si>
  <si>
    <t>B3</t>
  </si>
  <si>
    <t>Loddo Mario</t>
  </si>
  <si>
    <t>C5</t>
  </si>
  <si>
    <t>D2</t>
  </si>
  <si>
    <t>B2</t>
  </si>
  <si>
    <t>Sanna Pietro</t>
  </si>
  <si>
    <t>D4</t>
  </si>
  <si>
    <t>D5</t>
  </si>
  <si>
    <t>Gregu Maria Rosa</t>
  </si>
  <si>
    <t>Cugusi Antonia Angela</t>
  </si>
  <si>
    <t>C2</t>
  </si>
  <si>
    <t>Mulas Sebastiano</t>
  </si>
  <si>
    <t>Tatti Anna Rita</t>
  </si>
  <si>
    <t>Tatti Bonaria</t>
  </si>
  <si>
    <t>Cugusi Michelina</t>
  </si>
  <si>
    <t>Puddu Giovannina</t>
  </si>
  <si>
    <t>Cadau Rita</t>
  </si>
  <si>
    <t>C4</t>
  </si>
  <si>
    <t>Busia Giovanni</t>
  </si>
  <si>
    <t>B4</t>
  </si>
  <si>
    <t>Loi Pierina</t>
  </si>
  <si>
    <t>Cugusi Raffaele</t>
  </si>
  <si>
    <t>Nonne Battista</t>
  </si>
  <si>
    <r>
      <rPr>
        <b/>
        <sz val="8.5"/>
        <color theme="1"/>
        <rFont val="Calibri"/>
        <family val="2"/>
        <scheme val="minor"/>
      </rPr>
      <t>Led</t>
    </r>
    <r>
      <rPr>
        <sz val="8.5"/>
        <color theme="1"/>
        <rFont val="Calibri"/>
        <family val="2"/>
        <scheme val="minor"/>
      </rPr>
      <t xml:space="preserve"> x 13 mens.: da quantificaz.storica anni precc.: 6.900,99  meno econ.da cessazioni 2013 (- 310,81:ex A.S.)</t>
    </r>
  </si>
  <si>
    <t>COMUNE   DI    FONNI</t>
  </si>
  <si>
    <t>3                       VOCI   VARIABILI</t>
  </si>
  <si>
    <t>DIPENDENTI</t>
  </si>
  <si>
    <t>Cat. ECON. Dot.organica vigente</t>
  </si>
  <si>
    <t>Indenn.responsabilità da definire per dip.da parte resp. servizi</t>
  </si>
  <si>
    <t>Indennità di Rischio</t>
  </si>
  <si>
    <t>Ind.Produttività collettiva da definire  per dipendente</t>
  </si>
  <si>
    <t>SOMME non ripartite</t>
  </si>
  <si>
    <t>TOTALI</t>
  </si>
  <si>
    <t>AREA  AMMINISTRATIVA</t>
  </si>
  <si>
    <t xml:space="preserve">Loddo Maria </t>
  </si>
  <si>
    <t>AREA  CONTABILE</t>
  </si>
  <si>
    <t>Demelas  Giuseppina</t>
  </si>
  <si>
    <t>AREA  SOCIALE</t>
  </si>
  <si>
    <t>Pinna Michelina Rosa</t>
  </si>
  <si>
    <t>AREA  TECNICA</t>
  </si>
  <si>
    <t>Busia Biuseppe</t>
  </si>
  <si>
    <t>Cicalo Battista</t>
  </si>
  <si>
    <t>ONERI RIFLESSI TOTALI</t>
  </si>
  <si>
    <t>CAP. 98 - ONERI CPDEL -  COMPETENZA</t>
  </si>
  <si>
    <t>TOTALI ONERI CPDEL</t>
  </si>
  <si>
    <t>cap. 99 - IRAP - COMPETENZA</t>
  </si>
  <si>
    <t>TOTALI ONERI   IRAP</t>
  </si>
  <si>
    <t>totali   COMPETENZA</t>
  </si>
  <si>
    <t>2) Risorse che specifiche disposizioni di legge finalizzano all'incentivazione di prestazioni/risultati del personale, come da seguente prospetto: (utilizzate previo accertamento delle relative risorse)</t>
  </si>
  <si>
    <t>ECONOMIA IRAP (da 8,50% a 2,55%)</t>
  </si>
  <si>
    <t>PREVISIONE ENTRATA</t>
  </si>
  <si>
    <t>CAPP. ONERI DIRETTI</t>
  </si>
  <si>
    <t>CPDEL:           CAP. 98</t>
  </si>
  <si>
    <t>IRAP:CAP. 99 ridotta al 2,55%</t>
  </si>
  <si>
    <t>CAP.ENTRATA: 686</t>
  </si>
  <si>
    <t>1)Incentivi progettazione -Art. 18 Legge 109/1994 e s.m.i. D.Lgs 163/2006, (SPESA: capp. 94/on.dir. - 98 E 99 - ENTRATA CAP. 686)</t>
  </si>
  <si>
    <t xml:space="preserve">importi utilizzabili previo accert. Entrata: su atti del settore tecnico </t>
  </si>
  <si>
    <t>2)Attività accertam. ICI- Art. 59,c.1, 1p. - D.Lgs 446/1997 , (SPESA: capp. 96/on.dir. - 98 E 99 - ENTRATA CAP. 17-18)</t>
  </si>
  <si>
    <t>3)Compensi Istat  (SPESA: art. 92 - 4001/tit. 4 - ENTRATA CAP. 2601/Tit.6) competenza</t>
  </si>
  <si>
    <t>IL RESPONSABILE DEL PROC.</t>
  </si>
  <si>
    <t>IL RESPONSABILE DEL SERV.</t>
  </si>
  <si>
    <t>Residui</t>
  </si>
  <si>
    <t>Economie su somme stabili indicate in note (minore spesa cessaz.da fine 2013:A.S.) -  euro 2013: 66.139,79-2185,94=63.953,85</t>
  </si>
  <si>
    <t xml:space="preserve">IMPORTI  TOTALI  FONDO 2014:  ONERI DIRETTI </t>
  </si>
  <si>
    <t xml:space="preserve"> a) Tot. ONERI DIRETTI: 2014 - competenza- CAP. 97</t>
  </si>
  <si>
    <t>Ind.Reperibilità presunta su 64 fest/tutti e 51 sabati anagr.</t>
  </si>
  <si>
    <t xml:space="preserve">PREVISIONE   SPESA  </t>
  </si>
  <si>
    <t xml:space="preserve"> SPESA  impegnata  o accantonata</t>
  </si>
  <si>
    <t>TOTALI   (comp.2014 + RR.)</t>
  </si>
  <si>
    <t xml:space="preserve">totali   RESIDUI </t>
  </si>
  <si>
    <t>A= PREVISIONI DI SPESA: OGGETTO</t>
  </si>
  <si>
    <t>B) IMPEGNI E/O ACCANTONAMENTI EFFETTIVI IN SPESA SU ENTRATE EFFETTIVAMENTE ACCERTATE - OGGETTO</t>
  </si>
  <si>
    <t>verifica/ contab.</t>
  </si>
  <si>
    <t>COMUNE   DI   FONNI</t>
  </si>
  <si>
    <t>1) FONDO PER SALARIO ACCESSORIO 2014 in corso (rip. iniziale 2014 da definire su ripart.contrattuale 2014)</t>
  </si>
  <si>
    <t>Tot. compless.:</t>
  </si>
  <si>
    <t>Somme sogg a rid.</t>
  </si>
  <si>
    <t>riduzione tot.</t>
  </si>
  <si>
    <t>differenza(parz)</t>
  </si>
  <si>
    <t>Riduzioni totali Art. 9, comma 2-bis DL 78/2010 di cui sopra (3202,05+1.228,70)</t>
  </si>
  <si>
    <t>TOTALE COMPLESSIVO FONDO iniziale ridotto M.S. 2014</t>
  </si>
  <si>
    <t>Riallineamento . per fine 2014</t>
  </si>
  <si>
    <r>
      <t xml:space="preserve">Costituzione Fondo risorse contrattazione integrativa </t>
    </r>
    <r>
      <rPr>
        <b/>
        <i/>
        <vertAlign val="superscript"/>
        <sz val="14"/>
        <rFont val="Arial"/>
        <family val="2"/>
      </rPr>
      <t>(1)</t>
    </r>
  </si>
  <si>
    <t>Risorse stabili</t>
  </si>
  <si>
    <r>
      <t xml:space="preserve">UNICO IMPORTO CONSOLIDATO ANNO 2003 - </t>
    </r>
    <r>
      <rPr>
        <i/>
        <sz val="8"/>
        <rFont val="Arial"/>
        <family val="2"/>
      </rPr>
      <t>(ART. 31 C.2 CCNL 2002-05)</t>
    </r>
  </si>
  <si>
    <r>
      <t xml:space="preserve">INCREMENTI CCNL 2002-05 - </t>
    </r>
    <r>
      <rPr>
        <i/>
        <sz val="8"/>
        <rFont val="Arial"/>
        <family val="2"/>
      </rPr>
      <t>(ART. 32 CC. 1,2,7)</t>
    </r>
  </si>
  <si>
    <r>
      <t xml:space="preserve">INCREMENTI CCNL 2004-05 - </t>
    </r>
    <r>
      <rPr>
        <i/>
        <sz val="8"/>
        <rFont val="Arial"/>
        <family val="2"/>
      </rPr>
      <t>(ART. 4. CC. 1,4,5 PARTE FISSA)</t>
    </r>
  </si>
  <si>
    <r>
      <t xml:space="preserve">INCREMENTI CCNL 2006-09 - </t>
    </r>
    <r>
      <rPr>
        <i/>
        <sz val="8"/>
        <rFont val="Arial"/>
        <family val="2"/>
      </rPr>
      <t>(ART. 8. CC. 2,5,6,7 PARTE FISSA)</t>
    </r>
  </si>
  <si>
    <t>RISPARMI EX ART. 2 C. 3 D.LGS 165/2001</t>
  </si>
  <si>
    <r>
      <t xml:space="preserve">RIDETERMINAZIONE PER INCREMENTO STIPENDIO - </t>
    </r>
    <r>
      <rPr>
        <i/>
        <sz val="8"/>
        <rFont val="Arial"/>
        <family val="2"/>
      </rPr>
      <t>(DICHIARAZIONE CONGIUNTA N.14 CCNL 2002-05 e N.1 CCNL 2008-09)</t>
    </r>
  </si>
  <si>
    <r>
      <t xml:space="preserve">INCREMENTO PER RIDUZIONE STABILE STRAORDINARIO - </t>
    </r>
    <r>
      <rPr>
        <i/>
        <sz val="8"/>
        <rFont val="Arial"/>
        <family val="2"/>
      </rPr>
      <t>(ART. 14 C.1 CCNL 1998-2001)</t>
    </r>
  </si>
  <si>
    <r>
      <t xml:space="preserve">INCREMENTO PER PROCESSI DECENTRAMENTO E TRASFERIMENTO FUNZIONI - </t>
    </r>
    <r>
      <rPr>
        <i/>
        <sz val="8"/>
        <rFont val="Arial"/>
        <family val="2"/>
      </rPr>
      <t>(ART.15, C.1, lett. L), CCNL 1998-2001)</t>
    </r>
  </si>
  <si>
    <r>
      <t xml:space="preserve">INCREMENTO PER RIORGANIZZAZIONI CON AUMENTO DOTAZIONE ORGANICA - </t>
    </r>
    <r>
      <rPr>
        <i/>
        <sz val="8"/>
        <rFont val="Arial"/>
        <family val="2"/>
      </rPr>
      <t>(ART.15, C.5, CCNL 1998-2001 PARTE FISSA)</t>
    </r>
  </si>
  <si>
    <r>
      <t xml:space="preserve">RIA E ASSEGNI AD PERSONAM PERSONALE CESSATO - </t>
    </r>
    <r>
      <rPr>
        <i/>
        <sz val="8"/>
        <rFont val="Arial"/>
        <family val="2"/>
      </rPr>
      <t>(ART. 4, C.2, CCNL 2000-01)</t>
    </r>
  </si>
  <si>
    <t>DECURTAZIONI DEL FONDO - PARTE FISSA</t>
  </si>
  <si>
    <t>TOTALE RISORSE STABILI</t>
  </si>
  <si>
    <t>Risorse variabili soggette al limite</t>
  </si>
  <si>
    <r>
      <t xml:space="preserve">SPONSORIZZAZIONI, ACCORDI COLLABORAZIONE, ECC. - </t>
    </r>
    <r>
      <rPr>
        <i/>
        <sz val="8"/>
        <rFont val="Arial"/>
        <family val="2"/>
      </rPr>
      <t xml:space="preserve">(ART. 43, L. 449/1997; ART. 15, C.1, lett. D), CCNL 1998-2001) </t>
    </r>
    <r>
      <rPr>
        <i/>
        <vertAlign val="superscript"/>
        <sz val="11"/>
        <rFont val="Arial"/>
        <family val="2"/>
      </rPr>
      <t>(2)</t>
    </r>
  </si>
  <si>
    <r>
      <t xml:space="preserve">RECUPERO EVASIONE ICI - </t>
    </r>
    <r>
      <rPr>
        <i/>
        <sz val="8"/>
        <rFont val="Arial"/>
        <family val="2"/>
      </rPr>
      <t>(ART. 4, C.3, CCNL 2000-2001; ART. 3, C. 57, L.662/1996, ART. 59, C.1, lett. P), D.LGS 446/1997)</t>
    </r>
  </si>
  <si>
    <r>
      <t xml:space="preserve">SPECIFICHE DISPOSIZIONI DI LEGGE - </t>
    </r>
    <r>
      <rPr>
        <i/>
        <sz val="8"/>
        <rFont val="Arial"/>
        <family val="2"/>
      </rPr>
      <t>(ART. 15 C. 1 lett. K) CCNL 1998-01)</t>
    </r>
    <r>
      <rPr>
        <sz val="9"/>
        <rFont val="Arial"/>
        <family val="2"/>
      </rPr>
      <t xml:space="preserve"> </t>
    </r>
    <r>
      <rPr>
        <i/>
        <vertAlign val="superscript"/>
        <sz val="11"/>
        <rFont val="Arial"/>
        <family val="2"/>
      </rPr>
      <t>(3)</t>
    </r>
  </si>
  <si>
    <r>
      <t xml:space="preserve">INTEGRAZIONE FONDO CCIAA IN EQUILIBRIO FINANZIARIO - </t>
    </r>
    <r>
      <rPr>
        <i/>
        <sz val="8"/>
        <rFont val="Arial"/>
        <family val="2"/>
      </rPr>
      <t>(ART. 15, C.1, lett. N), CCNL 1998-2001)</t>
    </r>
  </si>
  <si>
    <r>
      <t xml:space="preserve">NUOVI SERVIZI E RIORGANIZZAZIONI CON AUMENTO DOTAZIONE ORGANICA - </t>
    </r>
    <r>
      <rPr>
        <i/>
        <sz val="8"/>
        <rFont val="Arial"/>
        <family val="2"/>
      </rPr>
      <t>(ART.15, C.5, CCNL 1998-2001 PARTE VARIABILE)</t>
    </r>
  </si>
  <si>
    <r>
      <t xml:space="preserve">INTEGRAZIONE 1,2% - </t>
    </r>
    <r>
      <rPr>
        <i/>
        <sz val="8"/>
        <rFont val="Arial"/>
        <family val="2"/>
      </rPr>
      <t>(ART. 15, C.2, CCNL 1998-2001)</t>
    </r>
  </si>
  <si>
    <r>
      <t xml:space="preserve">MESSI NOTIFICATORI - </t>
    </r>
    <r>
      <rPr>
        <i/>
        <sz val="8"/>
        <rFont val="Arial"/>
        <family val="2"/>
      </rPr>
      <t>(ART. 54, CCNL 14.9.2000)</t>
    </r>
  </si>
  <si>
    <r>
      <t xml:space="preserve">COMPENSI PROFESSIONALI LEGALI IN RELAZIONE A SENTENZE FAVOREVOLI - </t>
    </r>
    <r>
      <rPr>
        <i/>
        <sz val="8"/>
        <rFont val="Arial"/>
        <family val="2"/>
      </rPr>
      <t>(ART. 27, CCNL 14.9.2000)</t>
    </r>
    <r>
      <rPr>
        <sz val="9"/>
        <rFont val="Arial"/>
        <family val="2"/>
      </rPr>
      <t xml:space="preserve"> </t>
    </r>
    <r>
      <rPr>
        <i/>
        <vertAlign val="superscript"/>
        <sz val="11"/>
        <rFont val="Arial"/>
        <family val="2"/>
      </rPr>
      <t>(4)</t>
    </r>
  </si>
  <si>
    <t>DECURTAZIONI DEL FONDO - PARTE VARIABILE</t>
  </si>
  <si>
    <t>Totale Risorse variabili soggette al limite</t>
  </si>
  <si>
    <t>Risorse variabili NON soggette al limite</t>
  </si>
  <si>
    <r>
      <t xml:space="preserve">ECONOMIE FONDO ANNO PRECEDENTE - </t>
    </r>
    <r>
      <rPr>
        <i/>
        <sz val="8"/>
        <rFont val="Arial"/>
        <family val="2"/>
      </rPr>
      <t>(</t>
    </r>
    <r>
      <rPr>
        <i/>
        <sz val="8"/>
        <color theme="1"/>
        <rFont val="Arial"/>
        <family val="2"/>
      </rPr>
      <t>ART. 17, C.5, CCNL 1998-2001)</t>
    </r>
  </si>
  <si>
    <r>
      <t xml:space="preserve">ECONOMIE FONDO STRAORDINARIO CONFLUITE - </t>
    </r>
    <r>
      <rPr>
        <i/>
        <sz val="8"/>
        <rFont val="Arial"/>
        <family val="2"/>
      </rPr>
      <t>(ART. 14, C.4, CCNL 1998-2001)</t>
    </r>
  </si>
  <si>
    <r>
      <t xml:space="preserve">QUOTE PER LA PROGETTAZIONE - </t>
    </r>
    <r>
      <rPr>
        <i/>
        <sz val="8"/>
        <rFont val="Arial"/>
        <family val="2"/>
      </rPr>
      <t>(ART. 15, C.1 LETT. K), CCNL 1998-2001; ART. 92, CC. 5-6,  D.LGS. 163/2006)</t>
    </r>
  </si>
  <si>
    <r>
      <t xml:space="preserve">COMPENSI PROFESSIONALI LEGALI IN RELAZIONE A SENTENZE FAVOREVOLI - </t>
    </r>
    <r>
      <rPr>
        <i/>
        <sz val="8"/>
        <rFont val="Arial"/>
        <family val="2"/>
      </rPr>
      <t>(ART. 27, CCNL 14/9/2000)</t>
    </r>
    <r>
      <rPr>
        <sz val="9"/>
        <rFont val="Arial"/>
        <family val="2"/>
      </rPr>
      <t xml:space="preserve"> </t>
    </r>
    <r>
      <rPr>
        <i/>
        <vertAlign val="superscript"/>
        <sz val="10.35"/>
        <rFont val="Arial"/>
        <family val="2"/>
      </rPr>
      <t>(5)</t>
    </r>
  </si>
  <si>
    <r>
      <t xml:space="preserve">SPONSORIZZAZIONI, ACCORDI DI COLLABORAZIONI, ECC. - </t>
    </r>
    <r>
      <rPr>
        <i/>
        <sz val="8"/>
        <rFont val="Arial"/>
        <family val="2"/>
      </rPr>
      <t>(ART. 43, L. 449/1997; ART. 15, C.1, lett. D), CCNL 1998-2001)</t>
    </r>
    <r>
      <rPr>
        <sz val="9"/>
        <rFont val="Arial"/>
        <family val="2"/>
      </rPr>
      <t xml:space="preserve"> </t>
    </r>
    <r>
      <rPr>
        <i/>
        <vertAlign val="superscript"/>
        <sz val="11"/>
        <rFont val="Arial"/>
        <family val="2"/>
      </rPr>
      <t>(6)</t>
    </r>
  </si>
  <si>
    <r>
      <t xml:space="preserve">RISORSE PIANI RAZIONALIZZAZIONE E RIQUALIFICAZIONE SPESA - </t>
    </r>
    <r>
      <rPr>
        <i/>
        <sz val="8"/>
        <rFont val="Arial"/>
        <family val="2"/>
      </rPr>
      <t>(ART. 15, COMMA 1, lett. K); ART. 16, COMMI 4 E 5, DL 98/2011)</t>
    </r>
  </si>
  <si>
    <t>Totale Risorse variabili NON soggette al limite</t>
  </si>
  <si>
    <t>TOTALE RISORSE VARIABILE</t>
  </si>
  <si>
    <r>
      <t xml:space="preserve">TOTALE </t>
    </r>
    <r>
      <rPr>
        <b/>
        <i/>
        <vertAlign val="superscript"/>
        <sz val="11"/>
        <rFont val="Arial"/>
        <family val="2"/>
      </rPr>
      <t>(7)</t>
    </r>
  </si>
  <si>
    <r>
      <t xml:space="preserve">TOTALE  DEPURATO DELLE VOCI NON SOGGETTE AL VINCOLO </t>
    </r>
    <r>
      <rPr>
        <b/>
        <i/>
        <vertAlign val="superscript"/>
        <sz val="11"/>
        <rFont val="Arial"/>
        <family val="2"/>
      </rPr>
      <t>(7)</t>
    </r>
  </si>
  <si>
    <t>Calcolo delle riduzioni previste dall'art. 9, c.2 bis, DL 78/2010:</t>
  </si>
  <si>
    <t xml:space="preserve">Decurtazione per effetto della riduzione di personale (unità): </t>
  </si>
  <si>
    <t>PERSONALE A INIZIO ANNO (al 1 gennaio)</t>
  </si>
  <si>
    <t>PERSONALE A FINE ANNO (al 31 dicembre)</t>
  </si>
  <si>
    <t>PERSONALE DELL'ANNO CON METODO DELLA SEMISOMMA</t>
  </si>
  <si>
    <t>PERCENTUALE DI RIDUZIONE DEL LIMITE</t>
  </si>
  <si>
    <t>LIMITE 2010 ADEGUATO ALLA EVENTUALE RIDUZIONE DI PERSONALE</t>
  </si>
  <si>
    <t>RIDUZIONE DA APPORTARE AL FONDO AI SENSI DELL'ART. 9 COMMA 2-BIS DEL DL N. 78/2010</t>
  </si>
  <si>
    <r>
      <t xml:space="preserve">di cui: </t>
    </r>
    <r>
      <rPr>
        <i/>
        <sz val="11"/>
        <rFont val="Arial"/>
        <family val="2"/>
      </rPr>
      <t>per applicazione limite 2010</t>
    </r>
  </si>
  <si>
    <r>
      <t xml:space="preserve">di cui: </t>
    </r>
    <r>
      <rPr>
        <i/>
        <sz val="11"/>
        <rFont val="Arial"/>
        <family val="2"/>
      </rPr>
      <t>per riduzione limite a seguito della riduzione di personale</t>
    </r>
  </si>
  <si>
    <t>Tutti gli importi vanno indicati in euro e al netto degli oneri sociali (contributi ed IRAP) a carico del datore di lavoro.</t>
  </si>
  <si>
    <t>Sponsorizzazioni, accordi di collaborazione ecc. riferiti ad attività ordinariamente rese, per convenzioni o accordi pre-D.L. n. 78/2010.</t>
  </si>
  <si>
    <t>Escluse le poste individuate tra le risorse variabili non soggette al limite.</t>
  </si>
  <si>
    <t>Compensi derivanti da cause con spese compensate.</t>
  </si>
  <si>
    <t>Compensi derivanti da cause con vittoria di spese a carico della controparte, acquisite in entrata al bilancio dell'ente</t>
  </si>
  <si>
    <t>Sponsorizzazioni, accordi di collaborazione ecc. riferiti ad attività non ordinariamente rese, per convenzioni o accordi post-D.L. n. 78/2010</t>
  </si>
  <si>
    <t>I totali vanno adeguati al limite di cui all'art. 9, comma 2-bis applicando le riduzioni fondo di cui alla riga 46.</t>
  </si>
  <si>
    <r>
      <t xml:space="preserve"> FONDO PER LA CONTRATTAZIONE INTEGRATIVA: RIEPILOGO RISORSE DECENTRATE DESTINATE ALL'INCENTIVAZIONE DELLE POLITICHE   DI SVILUPPO  DELLE RISORSE   UMANE  E   DELLA   PRODUTTIVITA' DEL PERSONALE DIPENDENTE - ANNO 2014: </t>
    </r>
    <r>
      <rPr>
        <b/>
        <sz val="11"/>
        <color theme="3" tint="-0.249977111117893"/>
        <rFont val="Arial"/>
        <family val="2"/>
      </rPr>
      <t xml:space="preserve"> iniziale: fatte salve modifiche a consuntivo.</t>
    </r>
  </si>
  <si>
    <t>f) Riallienamento progressioni orizzontali determinato in anni precedenti.-</t>
  </si>
  <si>
    <r>
      <t xml:space="preserve">Totali parziali da  a)/ f)                                                                                   </t>
    </r>
    <r>
      <rPr>
        <sz val="7"/>
        <rFont val="Arial"/>
        <family val="2"/>
      </rPr>
      <t xml:space="preserve"> (Variazioni posizion.rispetto al conto annuale 2012:ex 52.352,23+6261,09-2849,12)</t>
    </r>
  </si>
  <si>
    <r>
      <t xml:space="preserve">INCREMENTI CCNL 02-05(ART.32 cc:1-2 C.7) </t>
    </r>
    <r>
      <rPr>
        <b/>
        <sz val="7"/>
        <rFont val="Arial"/>
        <family val="2"/>
      </rPr>
      <t>-periodo 2002/2005di cui:</t>
    </r>
  </si>
  <si>
    <t>Riduzione proporzionale parte fissa Art. 9, comma 2-bis D.L.78/2010 su metodologia della circolare Mef n. 12/2011: pers.medio in servizio 2010=23 e sul 2014=22,00- perc.di rizuzione= 4, 3478261% arrotond. a 4,35% su 73.610,32</t>
  </si>
  <si>
    <t>Fondo unico Regionale per ex LL.RR. 19/97 (art.15 c.1 lett K) CCNL 1/4/99) –  su totali fondo generale 2013 da  Finanziaria Regionale LR 12 e 13/2013- (consid.:SPECIFICHE DISP.DI LEGGE)</t>
  </si>
  <si>
    <t>Da economie fondo 2012 oordinario (oltre a euro.650,23 per Istat ins. In fondi vinc.)</t>
  </si>
  <si>
    <r>
      <t xml:space="preserve">Attività di recupero  dell'evasione ICI: art. 57 della Legge 662/1996 e art. 59 c.1LP del DLgs 446/97  e art. 18 Regolamento ICI(C.C.17/07 e ss.mm.) - </t>
    </r>
    <r>
      <rPr>
        <b/>
        <sz val="8"/>
        <rFont val="Arial"/>
        <family val="2"/>
      </rPr>
      <t>Voce indicata dall'Aran: soggetta alle riduzione dell'art. 9c.2-bis dl78/11 -</t>
    </r>
  </si>
  <si>
    <t>Riduzione proporzionale parte fissa Art. 9, comma 2-bis D.L.78/2010 su metodologia della circolare Mef n. 12/2011: pers.medio in servizio 2010=23 e sul 2014=22,00- perc.di rizuzione= 4, 3478261% arrotond. a 4,35% su 28.246,09 (6.505,64+20.000+1.740,45)</t>
  </si>
  <si>
    <t>RIDOTTO PER ART. 9 C.2-BIS DL 78/10 e ss.mm.</t>
  </si>
  <si>
    <r>
      <t xml:space="preserve">Indennità ad personam(diff. Tra D1 e C5) e Progressioni orizzontali storiche attribuite in anni precc.:  47.739,86riall.in2013: meno econ.da cassazioni(1.383,61 ex A.S.) </t>
    </r>
    <r>
      <rPr>
        <b/>
        <sz val="8.5"/>
        <color theme="1"/>
        <rFont val="Calibri"/>
        <family val="2"/>
        <scheme val="minor"/>
      </rPr>
      <t>riallin.su dati anni precc.</t>
    </r>
  </si>
  <si>
    <t>Indennità comparto: già indicata storic.a carico del fondo in anni precc. 11.233,34 meno econ.da cessazioni 2013 (-426,96ex A.S.)</t>
  </si>
  <si>
    <t>RIDUZIONI ART. 9 C.2 D.L. 78/10:  ( 3.202,05/su risorse stabili + 1.228,70/su risurve variabili soggette a riduzione)</t>
  </si>
  <si>
    <t>economie da somme pagate ad AS in2013:senza prod.</t>
  </si>
  <si>
    <r>
      <t xml:space="preserve">Specifica raffronto con calcolo riduzione - secondo ultime disposizioni  Aran: </t>
    </r>
    <r>
      <rPr>
        <sz val="8"/>
        <rFont val="Arial"/>
        <family val="2"/>
      </rPr>
      <t xml:space="preserve">(foglio di file successivo) successivo -                          </t>
    </r>
    <r>
      <rPr>
        <b/>
        <sz val="8"/>
        <rFont val="Arial"/>
        <family val="2"/>
      </rPr>
      <t xml:space="preserve">           NB: (101.856,41 = 73.610,32+20.000,00+6.505,64 +1.740,45)</t>
    </r>
  </si>
  <si>
    <t>differenza tra tot. risorse stabili e riduzioni di cui sopra: da destinare alla contrattazione non vinc. (senza riduzioni)</t>
  </si>
  <si>
    <t>differenza tra tot. risorse stabili e riduzioni di cui sopra e per D.L. 78/2010 art.9c.2-bis: da destinare alla contrattazione non vinc.</t>
  </si>
  <si>
    <r>
      <t xml:space="preserve">Totale risorse variabili non vincolate: soggette a contrattazione non vincolata  </t>
    </r>
    <r>
      <rPr>
        <sz val="9"/>
        <color rgb="FFC00000"/>
        <rFont val="Calibri"/>
        <family val="2"/>
        <scheme val="minor"/>
      </rPr>
      <t>(Ridotte di  1.228,70 )</t>
    </r>
  </si>
  <si>
    <t>TOTALE  risorse stabili e variabili non vincolate soggette a contrattazione</t>
  </si>
  <si>
    <t>Verifica copertura in bilancio: comp. 2014 cap. 97 (Bil. 2014 in corso predisp.: Peg)</t>
  </si>
  <si>
    <t>Compet. 2014</t>
  </si>
  <si>
    <t>Tot. Fondo attuale</t>
  </si>
  <si>
    <t>COMUNE DI FONNI</t>
  </si>
  <si>
    <t>destinate per l'anno 1998 al pagamento dei LED</t>
  </si>
  <si>
    <t>LIRE PER 12 MENS</t>
  </si>
  <si>
    <t>LIRE PER 13 MENS</t>
  </si>
  <si>
    <t>EURO</t>
  </si>
  <si>
    <t>loddo maria</t>
  </si>
  <si>
    <t>carta mario</t>
  </si>
  <si>
    <t>busia giovanni</t>
  </si>
  <si>
    <t>cadau battistino</t>
  </si>
  <si>
    <t>nonne b</t>
  </si>
  <si>
    <t>cugusi raffaele</t>
  </si>
  <si>
    <t>tatti bonaria</t>
  </si>
  <si>
    <t>Dessolis Antonio</t>
  </si>
  <si>
    <t xml:space="preserve">demelas </t>
  </si>
  <si>
    <t>demartis</t>
  </si>
  <si>
    <t xml:space="preserve">lai </t>
  </si>
  <si>
    <t>cadau rita</t>
  </si>
  <si>
    <t>puddu giovanna</t>
  </si>
  <si>
    <t>cugusi micheli</t>
  </si>
  <si>
    <t>cicalo battista</t>
  </si>
  <si>
    <t>tatti anna rita</t>
  </si>
  <si>
    <t>tolu anna</t>
  </si>
  <si>
    <t>cugusi a.a.</t>
  </si>
  <si>
    <t>pinna michela</t>
  </si>
  <si>
    <t>tatti michele</t>
  </si>
  <si>
    <t>angheleddu</t>
  </si>
  <si>
    <t>pirellas giacomo</t>
  </si>
  <si>
    <t>puddu giuseppe</t>
  </si>
  <si>
    <t>loddo mario</t>
  </si>
  <si>
    <t>sechi</t>
  </si>
  <si>
    <t>gregu maria</t>
  </si>
  <si>
    <t>IMPORTO PER LA QUANTIFICAZIONE IN LIRE</t>
  </si>
  <si>
    <t>IMPORTO PER LA QUANTIFICAZIONE IN EURO</t>
  </si>
  <si>
    <t>Ufficio del Personale</t>
  </si>
  <si>
    <t>monte salari 2007</t>
  </si>
  <si>
    <t>cap. 60</t>
  </si>
  <si>
    <t>cap. 97</t>
  </si>
  <si>
    <t>cap. 106</t>
  </si>
  <si>
    <t>cap. 360</t>
  </si>
  <si>
    <t>cap. 386</t>
  </si>
  <si>
    <t>cap. 390</t>
  </si>
  <si>
    <t>cap. 397</t>
  </si>
  <si>
    <t>cap. 430</t>
  </si>
  <si>
    <t>cap. 530</t>
  </si>
  <si>
    <t>cap. 590</t>
  </si>
  <si>
    <t>cap. 640</t>
  </si>
  <si>
    <t>cap. 840</t>
  </si>
  <si>
    <t>cap.1410</t>
  </si>
  <si>
    <t>cap. 1955</t>
  </si>
  <si>
    <t>(*)</t>
  </si>
  <si>
    <t>totale entrate correnti anno 2008</t>
  </si>
  <si>
    <t>totale spese di personale anno 2008</t>
  </si>
  <si>
    <t>TIT. I</t>
  </si>
  <si>
    <t>TIT. II</t>
  </si>
  <si>
    <t>TIT. III</t>
  </si>
  <si>
    <t>percentuale spesa personale su entrate correnti 2008</t>
  </si>
  <si>
    <t xml:space="preserve"> = 26,04%</t>
  </si>
  <si>
    <t>(*)la percentuale è sotto il 31%, pertanto il Comune può incrementare il fondo dell'1,5% sul monte</t>
  </si>
  <si>
    <t>salari 2007</t>
  </si>
  <si>
    <t>Allegato "A4" alla relazione tecnico finanziaria per la quantificazione del fondo per il salario accessorio 2006</t>
  </si>
  <si>
    <t xml:space="preserve">COMUNE DI FONNI </t>
  </si>
  <si>
    <t>Provincia di Nuoro</t>
  </si>
  <si>
    <t>MONTE SALARI 2003</t>
  </si>
  <si>
    <t xml:space="preserve">CAP. </t>
  </si>
  <si>
    <t>TOTALE INCREM. FONDO</t>
  </si>
  <si>
    <t>art. 8 c. 3 c.c.n.l. 2006/07</t>
  </si>
  <si>
    <t>art. 8 c. 2 c.c.n.l. 2006/07</t>
  </si>
  <si>
    <t>CC</t>
  </si>
  <si>
    <t>DI</t>
  </si>
  <si>
    <t>906/2005</t>
  </si>
  <si>
    <t>784/2005</t>
  </si>
  <si>
    <t>762/2005</t>
  </si>
  <si>
    <t>599/2005</t>
  </si>
  <si>
    <t>487/2005</t>
  </si>
  <si>
    <t>279/2005</t>
  </si>
  <si>
    <t>311/2005</t>
  </si>
  <si>
    <t>5      DI</t>
  </si>
  <si>
    <t>1065/200</t>
  </si>
  <si>
    <t>171/2005</t>
  </si>
  <si>
    <t>547/2005</t>
  </si>
  <si>
    <t>549/2005</t>
  </si>
  <si>
    <t>546/2005</t>
  </si>
  <si>
    <t>162/2005</t>
  </si>
  <si>
    <t>MANDATI</t>
  </si>
  <si>
    <t>DISPONIBILITA'</t>
  </si>
  <si>
    <t>IMP.ATTUALE</t>
  </si>
  <si>
    <t>Allegato "A3" alla relazione tecnico finanziaria per la quantificazione del fondo per il salario accessorio 2006</t>
  </si>
  <si>
    <t>MONTE SALARI 2001</t>
  </si>
  <si>
    <t>LIRE</t>
  </si>
  <si>
    <t>Allegato "A1" alla relazione tecnico finanziaria per la quantificazione del fondo per il salario accessorio 2006</t>
  </si>
  <si>
    <t>MONTE SALARI 1997</t>
  </si>
  <si>
    <t>IMPORTO LIRE</t>
  </si>
  <si>
    <t>IMPORTO EURO</t>
  </si>
  <si>
    <t>tot. Cap.</t>
  </si>
  <si>
    <t>retr. Segretario</t>
  </si>
  <si>
    <t>Allegato "A2" alla relazione tecnico finanziaria per la quantificazione del fondo per il salario accessorio 2006</t>
  </si>
  <si>
    <t>MONTE SALARI 1999</t>
  </si>
  <si>
    <t>Allegato  "B" alla determina di impegno n. 15 del 02/01/2008</t>
  </si>
  <si>
    <t>FONDO PROGRESSIONI ORIZZONTALI SUDDIVISO PER AREA</t>
  </si>
  <si>
    <t>AREA SS.GG./PERS/INFOR/ P.M.</t>
  </si>
  <si>
    <t>totale</t>
  </si>
  <si>
    <t>Cogome e nome</t>
  </si>
  <si>
    <t>fondo progr. Orizzontali</t>
  </si>
  <si>
    <t>mulas sebastiano</t>
  </si>
  <si>
    <t>nonne battista</t>
  </si>
  <si>
    <t>AREA ECON-FINANZIARIA</t>
  </si>
  <si>
    <t>cugusi michelina</t>
  </si>
  <si>
    <t>demelas  giuseppina</t>
  </si>
  <si>
    <t>AREA TECNICA-MANUTENTIVA</t>
  </si>
  <si>
    <t>angheleddu  salvatore</t>
  </si>
  <si>
    <t>busia giuseppe</t>
  </si>
  <si>
    <t>demartis mario</t>
  </si>
  <si>
    <t>AREA SOCIO- CULT.- SS.DD.</t>
  </si>
  <si>
    <t>cugusi antonia angela</t>
  </si>
  <si>
    <t>gregu maria rosa</t>
  </si>
  <si>
    <t>cap. 565</t>
  </si>
  <si>
    <t>totale accantonamento</t>
  </si>
  <si>
    <t>cap. 566</t>
  </si>
  <si>
    <t>CPDEL</t>
  </si>
  <si>
    <t>cap. 567</t>
  </si>
  <si>
    <t>TFS/TFR</t>
  </si>
  <si>
    <t>cap. 568</t>
  </si>
  <si>
    <t>IRAP</t>
  </si>
  <si>
    <t xml:space="preserve">Incremento 1,2% monte salari 1999 (ART. 15 c.2 CCNL 1/4/99 - 98-01):                                         </t>
  </si>
  <si>
    <t xml:space="preserve">Residui per attività per conto dell'Istat su entrate accertate sul cap. 2601/entrata/partite di giro (importi utilizzabili previo incasso somme su accert.n.733/2011) - (2.787,25-pagam.2013: 2.137,02= 650,23) somme eliminate con rendiconto 2013 </t>
  </si>
  <si>
    <t>(123.752,86-4.430,75)</t>
  </si>
  <si>
    <t>Incrementi RIA+ind.ad pers. cessati 2013 (Angh.) (+318,96/ria+0,00) - Riduzione per diff. Con 73.610,32/2010:  (-318,96) = 0</t>
  </si>
  <si>
    <r>
      <t>c) Risorse LED 1998:  personale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allora</t>
    </r>
    <r>
      <rPr>
        <sz val="8"/>
        <rFont val="Arial"/>
        <family val="2"/>
      </rPr>
      <t xml:space="preserve"> in servizio (art.15 c.1 lett. g) CCNL 1998/2001)                    </t>
    </r>
  </si>
  <si>
    <t>b) Increm.0,50% monte salari 2001 (art. 32 c.2 CCNL 2002/2005)</t>
  </si>
  <si>
    <t>a) Increm.0,62% monte salari 2001  (art. 32 c.1 CCNL 2002/2005)-</t>
  </si>
  <si>
    <t xml:space="preserve"> - Increm. 1,1% monte salari 1999 (art. 4 c.1 CCNL 5/10/2001 - periodo 2000/01)  -                            </t>
  </si>
  <si>
    <t>e) Increm.0,50% monte salari 2003: (art. 4 c. 1 CCNL 9/5/06  per 2004-05)</t>
  </si>
  <si>
    <t>Increm. 0,6% monte salari 2005 (art. 8 c. 2 CCNL 14/04/2008- per:06-09)</t>
  </si>
  <si>
    <r>
      <t xml:space="preserve">Incentivi per la progettazione ex art. 92 cc5 e 6 del D.Lgs 163/2006 ed ex L. 109/94  - (art. 15 c 1 lett. k) - non assoggettate a vincoli ex art. 9 c.bis L:162/10 e ss.mm. </t>
    </r>
    <r>
      <rPr>
        <b/>
        <sz val="8"/>
        <rFont val="Arial"/>
        <family val="2"/>
      </rPr>
      <t>(18.825,30:su previsioni iniziali di bilancio: entro 2014 da riallineare anche con i dati sugli importi effettiv.accertati in entrata e utilizzati.</t>
    </r>
  </si>
  <si>
    <t>Il valore esposto come totale complessivo 2014 (119.250,96/previsione da definire con le somme effettivamente utilizzate per somme vincolate di parte variabile)  risulta coerente con il valore massimo teorico  (calcolato in 124.303,35-4.430,75=119.872,60/previsione e da definire  come sopra con gli importi effettivamente utilizzati)</t>
  </si>
  <si>
    <t xml:space="preserve">Allegato "B" alla det. 7/2014:ripartizione iniziale contabile  da definire su contratto integrativo (revisionata per G.C.  /14)   </t>
  </si>
  <si>
    <t xml:space="preserve">b) Tot economie fondo es.prec. (RR. - cap. 97) </t>
  </si>
  <si>
    <t xml:space="preserve">CAP. 98 rr.pp. </t>
  </si>
  <si>
    <t>CAP. 98 - ONERI INAIL -  COMPETENZA</t>
  </si>
  <si>
    <t>cap. 99 - IRAP - rr.pp.</t>
  </si>
  <si>
    <r>
      <t>note: (</t>
    </r>
    <r>
      <rPr>
        <sz val="7"/>
        <rFont val="Arial"/>
        <family val="2"/>
      </rPr>
      <t>si considerà l'irap sulle voci vincolate ancora all'8,50% in attesa di disp. reg.li in merito a tali particolari interventi)</t>
    </r>
  </si>
  <si>
    <t>INAIL:           CAP. 98</t>
  </si>
  <si>
    <t>Importi utilizzabili al 35% su tot. accert. Entrata nei limiti di euro1.740,45 (Fondo 2010)</t>
  </si>
  <si>
    <t>Importi utilizzabili previo accert. Entrata</t>
  </si>
  <si>
    <t xml:space="preserve">Importi utilizzabili previo accert. Entrata: su atti del settore tecnico </t>
  </si>
  <si>
    <t xml:space="preserve">Tot. </t>
  </si>
  <si>
    <t xml:space="preserve">ALLEGATO "A":  ALLA DELIBERA G.C.  N. 58/2014 - E RIDET.SU  D.I. N. 6    DEL  2.1.2014  -   </t>
  </si>
  <si>
    <t>IMPORTI FINALI RIALLINEATI</t>
  </si>
  <si>
    <t>Attività per conto dell'Istat su entrate attualmente alloccate sul cap. 2601/partite di giro - non assoggettate a vincoli ex art. 9 c.bis L:162/10 e ss.mm. (Ridet.in 0,00 su accert. definitivi 2014)</t>
  </si>
  <si>
    <t>Da economie fondo 2013: 0,00 nelle more della liq.uidaz.della produttività 2013</t>
  </si>
  <si>
    <r>
      <t xml:space="preserve">Attività di recupero  dell'evasione ICI: art. 57 della Legge 662/1996 e art. 59 c.1LP del DLgs 446/97  e art. 18 Regolamento ICI(C.C.17/07 e ss.mm.) - </t>
    </r>
    <r>
      <rPr>
        <b/>
        <sz val="8"/>
        <rFont val="Arial"/>
        <family val="2"/>
      </rPr>
      <t>Voce indicata dall'Aran: soggetta alle riduzione dell'art. 9c.2-bis dl78/11 -(SOMME ACC/UTILIZZATE su cap.94/s:0,00)</t>
    </r>
  </si>
  <si>
    <t>IMPORTI INIZIALI (da prev.di bil.)</t>
  </si>
  <si>
    <t>(impegni su accert.entrata:0,00)</t>
  </si>
  <si>
    <t>(iniziale/previs e riall.su utilizzi da accert.entrate)</t>
  </si>
  <si>
    <r>
      <t xml:space="preserve">TOTALE  risorse stabili e variabili non vincolate soggette a contrattazione </t>
    </r>
    <r>
      <rPr>
        <b/>
        <sz val="7"/>
        <color theme="1"/>
        <rFont val="Calibri"/>
        <family val="2"/>
        <scheme val="minor"/>
      </rPr>
      <t>(+75,70rideterminaz.riduz.da 1.228,70 a 1.153 in parte variabile)</t>
    </r>
  </si>
  <si>
    <t>quote fondo 2010 non assoggettate ai vincoli (di cui alla L. 122/2010) +1740,45 se non accert.in 2014</t>
  </si>
  <si>
    <t>quote fondo 2014 non assoggettate ai vincoli (di cui alla  L. 122/2010: 18.825,30+3.000,00)  +1740,45 se non accert. in 2014</t>
  </si>
  <si>
    <t>ALLEGATO "A":  ALLA DET.492/14 DI RIALLIN.ALLEG.G.C.  N. 58/2014 - E D.I. N. 7/14</t>
  </si>
  <si>
    <t xml:space="preserve"> FONDO PER LA CONTRATTAZIONE INTEGRATIVA: RIEPILOGO RISORSE DECENTRATE DESTINATE ALL'INCENTIVAZIONE DELLE POLITICHE   DI SVILUPPO  DELLE RISORSE   UMANE  E   DELLA   PRODUTTIVITA' DEL PERSONALE DIPENDENTE - ANNO 2014:  Riallineato sugli impegni/accertamenti effettivi a fine esercizio delle risorse a dest.specifica inizialmente previste nel bilancio di previsione 2014.</t>
  </si>
  <si>
    <t xml:space="preserve">c) Risorse LED 1998:  personale allora in servizio (art.15 c.1 lett. g) CCNL 1998/2001)                    </t>
  </si>
  <si>
    <t>(impegni utilizz. dall'UTC, indicati correlati ad accert. cap.686/entrata:)</t>
  </si>
  <si>
    <t>Riduzione proporzionale parte variab. Art. 9, comma 2-bis D.L.78/2010 su metodologia della circolare Mef n. 12/2011: pers.medio in servizio 2010=23 e sul 2014=22,00- perc.di rizuzione= 4, 3478261% arrotond. a 4,35% INIZIALMENTE su 28.246,09 (6.505,64+20.000+1.740,45) E PER REVISIONE FINALE: 4,35% SU 26.505,64= -1.153,00 (per mancato impegno somme incent/ici</t>
  </si>
  <si>
    <t>quote fondo 2010 non assoggettate ai vincoli (di cui alla L.122/2010)  in sede iniziale non si considerava l'inc. ici da ridurre : considerato alla fine in quanto non impegnato</t>
  </si>
  <si>
    <t xml:space="preserve">quote fondo 2014 non assoggettate ai vincoli di cui alla  L. 122/2010: (INIZIALI= 18.825,30+3.000,00+1740,45/incent.ici=23.565,75) e                      (FINALI:solo 11.177,33/incent.utc) </t>
  </si>
  <si>
    <t xml:space="preserve">Quantificazione valore massimo secondo la metodologia del conto annuale 2014 </t>
  </si>
  <si>
    <t>Tot.somme gia utilizzate: da ridurre sulla parte stabile</t>
  </si>
  <si>
    <t>TOTALE RISORSE FISSE: (ridotte di -3.202,05 di cui sopra)</t>
  </si>
  <si>
    <r>
      <t xml:space="preserve">Totale risorse variabili ( </t>
    </r>
    <r>
      <rPr>
        <b/>
        <sz val="9"/>
        <rFont val="Arial"/>
        <family val="2"/>
      </rPr>
      <t>con somme iniziali su previsioni e finali su somme effett.accertate in entrata e utilizz.in spesa)</t>
    </r>
  </si>
  <si>
    <r>
      <rPr>
        <b/>
        <sz val="11"/>
        <rFont val="Times New Roman"/>
        <family val="1"/>
      </rPr>
      <t xml:space="preserve">TOTALE RISORSE VARIABILI FINALI RIDOTTE         </t>
    </r>
    <r>
      <rPr>
        <b/>
        <sz val="9.5"/>
        <rFont val="Times New Roman"/>
        <family val="1"/>
      </rPr>
      <t xml:space="preserve"> Iniziali=(50.071,39-1228,70=48.842,69)   E  Finali=(37.682,97-1.153,00=36.529,97)</t>
    </r>
  </si>
  <si>
    <r>
      <t>VALORE MASSIMO FONDO ANNO CORRENTE - ridotto per:                                            art.</t>
    </r>
    <r>
      <rPr>
        <b/>
        <sz val="9"/>
        <rFont val="Arial"/>
        <family val="2"/>
      </rPr>
      <t xml:space="preserve"> 9 C.2-bis DL78/10 e ss.mm.(iniz=-4.430,75 e fin=-4.355,05)</t>
    </r>
  </si>
  <si>
    <t>Fondo 2014 infe-riore  al 2010 per:</t>
  </si>
  <si>
    <t>Il valore esposto come totale complessivo 2014 (119.250,96/previsione e 106.938,24/riallineato su somme effettivamente utilizzate per somme vincolate di parte variabile)  risulta coerente con il valore massimo teorico  (calcolato in 124.303,35-4.430,75=119.872,60/previsione e 111.914,93-4.355,05 =107.559,88 riallineato a fine esercizio su accert./utilizzi effettivi di parte variabile-vincolata e rideterminazione riduzioni da 4.430,75 a 4.355,05) - Il Fondo finale è inferiore a quello massimo teorico ricalcolato sul 2010</t>
  </si>
  <si>
    <t>comp.cap. 97</t>
  </si>
  <si>
    <t>Compet. 2014 cap_</t>
  </si>
  <si>
    <t>RISORSE 2014</t>
  </si>
  <si>
    <t>SPESE FINALI</t>
  </si>
  <si>
    <t>DIFFERENZA: tra parte fissa-ridotta(70.408,27)  e somme già utilizzate sul fondo in anni precc.(64.149,46 inserite in capp.spesa  personale-centri di costo) = 6.258,81</t>
  </si>
  <si>
    <t>Verifica copertura in bilancio: comp. 2014 cap. 97 (Bil. 2014 in corso predisp.: Peg) stanziato in bilancio per €31.535,75</t>
  </si>
  <si>
    <t>AREE</t>
  </si>
  <si>
    <t>-</t>
  </si>
  <si>
    <t>Allegato "B" alla det. 492/14 DI MODIFICA 7/2014: riepilogo ripartizione ridotta dalle minori spese inserite  nella voce produttività ai sensi del contratto aziendale 2014</t>
  </si>
  <si>
    <t>1) FONDO PER SALARIO ACCESSORIO 2014: 6.258,81=da parte fissa  e  25.352,64,</t>
  </si>
  <si>
    <t>B6</t>
  </si>
  <si>
    <t>2/a) Risorse che specifiche disposizioni di legge finalizzano all'incentivazione di prestazioni/risultati del personale, come da seguente prospetto: (utilizzabili previo accertamento delle relative risorse) IMPORTI INIZIALI: DA STANZIAMENTI DI BILANCIO 2014</t>
  </si>
  <si>
    <t xml:space="preserve">2/b) Risorse che specifiche disposizioni di legge finalizzano all'incentivazione di prestazioni/risultati del personale, come da seguente prospetto: (utilizzate previo accertamento delle relative risorse) IMPORTI INSERITI DA IMPEGNI AL 31.12.2014  SUI CAPP. INDICATI </t>
  </si>
  <si>
    <t>nessun impegno di spesa sui capitoli a fianco indicati</t>
  </si>
  <si>
    <t>Importi utilizzati per 11.177,33 più oneri:accert. Entrata: su atti del settore tecnico non corrisponde a tot.</t>
  </si>
  <si>
    <r>
      <rPr>
        <b/>
        <sz val="8"/>
        <rFont val="Arial"/>
        <family val="2"/>
      </rPr>
      <t xml:space="preserve">Loddo Maria   -  </t>
    </r>
    <r>
      <rPr>
        <sz val="8"/>
        <rFont val="Arial"/>
        <family val="2"/>
      </rPr>
      <t xml:space="preserve">((*): Euro 1333,60 meno: gg.18:Decreto Sind.n.12/2014 Resp.Serv.amm=1266,92)  </t>
    </r>
  </si>
  <si>
    <t xml:space="preserve">((*): Euro1333,60 meno: gg.18:Decreto Sind.n.12/2014 Resp.Serv.amm=1266,92)  </t>
  </si>
  <si>
    <t>D4 (*)</t>
  </si>
  <si>
    <r>
      <rPr>
        <b/>
        <sz val="8"/>
        <rFont val="Arial"/>
        <family val="2"/>
      </rPr>
      <t>Cadau Rita</t>
    </r>
    <r>
      <rPr>
        <sz val="8"/>
        <rFont val="Arial"/>
        <family val="2"/>
      </rPr>
      <t xml:space="preserve">   - ((*):Euro 2.000 iniziali, fino all' 11.5.2014  = 727,78 -Per Decr.Sind. 7/14 di nomina Resp.Area Amm. ) </t>
    </r>
    <r>
      <rPr>
        <b/>
        <sz val="8"/>
        <rFont val="Arial"/>
        <family val="2"/>
      </rPr>
      <t>attrib. dal resp.del servizio per 662,90</t>
    </r>
  </si>
  <si>
    <t>((*):Euro 2.000 iniziali, fino all' 11.5.2014  = 727,78 -Per Decr.Sind. 7/14 di nomina Resp.Area Amm. )</t>
  </si>
  <si>
    <t>Loi Pierina             (attribuito dal resp. di serv. per 600,00)</t>
  </si>
  <si>
    <t>Nonne Battista       (attribuito dal resp. di serv. per 500,00)</t>
  </si>
  <si>
    <r>
      <rPr>
        <b/>
        <sz val="8"/>
        <rFont val="Arial"/>
        <family val="2"/>
      </rPr>
      <t>Cugusi Raffaele</t>
    </r>
    <r>
      <rPr>
        <sz val="8"/>
        <rFont val="Arial"/>
        <family val="2"/>
      </rPr>
      <t xml:space="preserve"> -  (Il responsabile del servizio indica non erogabile l'indennità di responsabilità)</t>
    </r>
  </si>
  <si>
    <t>Il responsabile del servizio indica non erogabile l'indennità di responsabilità</t>
  </si>
  <si>
    <r>
      <t xml:space="preserve">Indenn.responsabilità iniz./contratt.: </t>
    </r>
    <r>
      <rPr>
        <sz val="8.5"/>
        <rFont val="Arial"/>
        <family val="2"/>
      </rPr>
      <t>(=18.000:che copre il 91,4467%)</t>
    </r>
  </si>
  <si>
    <t>Tot.area:</t>
  </si>
  <si>
    <t>(attribuito dal resp. di serv. per 600,00)</t>
  </si>
  <si>
    <t>(attribuito dal resp. di serv. per 500,00)</t>
  </si>
  <si>
    <t>AREA  SOCIO-CULTURALE</t>
  </si>
  <si>
    <r>
      <rPr>
        <b/>
        <sz val="8"/>
        <rFont val="Arial"/>
        <family val="2"/>
      </rPr>
      <t xml:space="preserve">Gregu Maria Rosa - </t>
    </r>
    <r>
      <rPr>
        <sz val="8"/>
        <rFont val="Arial"/>
        <family val="2"/>
      </rPr>
      <t>((*): Euro 2.000 iniziali -meno gg.5 nomina Resp.Sost.Area Soc. n.5/14 e sost.resp. e -meno gg.15 utilizz.su Det.339/2014 = 1.888,89</t>
    </r>
  </si>
  <si>
    <t>((*): Euro 2.000 iniziali -meno gg.5 nomina Resp.Sost.Area Soc. n.5/14 e sost.resp. e -15 gg.det.339/2014 = 1.888,89</t>
  </si>
  <si>
    <t>D5 (*)</t>
  </si>
  <si>
    <r>
      <rPr>
        <b/>
        <sz val="8"/>
        <rFont val="Arial"/>
        <family val="2"/>
      </rPr>
      <t xml:space="preserve">Cugusi Antonia Angela  - </t>
    </r>
    <r>
      <rPr>
        <sz val="8"/>
        <rFont val="Arial"/>
        <family val="2"/>
      </rPr>
      <t xml:space="preserve"> </t>
    </r>
    <r>
      <rPr>
        <b/>
        <sz val="10"/>
        <rFont val="Arial"/>
        <family val="2"/>
      </rPr>
      <t>(</t>
    </r>
    <r>
      <rPr>
        <sz val="8"/>
        <rFont val="Arial"/>
        <family val="2"/>
      </rPr>
      <t xml:space="preserve">Ind.rischio: certificato Attrib. dal Resp.Serv.P.O.,con la presente, calcolato su  giorni pres-sogg.Indenn/ assenzanon sogg.Indenn.:calcolo giorni pres/sogg.: </t>
    </r>
    <r>
      <rPr>
        <b/>
        <sz val="8"/>
        <rFont val="Arial"/>
        <family val="2"/>
      </rPr>
      <t>360/ann.(-)m</t>
    </r>
    <r>
      <rPr>
        <sz val="8"/>
        <rFont val="Arial"/>
        <family val="2"/>
      </rPr>
      <t>eno gg.assenze.e non sogg.:per tot.gg42:(-1,1538*42gg:</t>
    </r>
    <r>
      <rPr>
        <b/>
        <sz val="8"/>
        <rFont val="Arial"/>
        <family val="2"/>
      </rPr>
      <t>-48,46</t>
    </r>
    <r>
      <rPr>
        <sz val="8"/>
        <rFont val="Arial"/>
        <family val="2"/>
      </rPr>
      <t xml:space="preserve">) </t>
    </r>
    <r>
      <rPr>
        <b/>
        <sz val="8"/>
        <rFont val="Arial"/>
        <family val="2"/>
      </rPr>
      <t>=311,54</t>
    </r>
    <r>
      <rPr>
        <sz val="8"/>
        <rFont val="Arial"/>
        <family val="2"/>
      </rPr>
      <t xml:space="preserve"> -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Indennità attrib./attestata dal Resp.Serv.:Euro 311,54:all A/2</t>
    </r>
    <r>
      <rPr>
        <sz val="11"/>
        <color theme="1"/>
        <rFont val="Calibri"/>
        <family val="2"/>
        <scheme val="minor"/>
      </rPr>
      <t>)</t>
    </r>
  </si>
  <si>
    <t>-    (da certific. P.O/R.S. da calcolare su  giorni presenza:           )</t>
  </si>
  <si>
    <r>
      <rPr>
        <b/>
        <sz val="8"/>
        <rFont val="Arial"/>
        <family val="2"/>
      </rPr>
      <t>Tatti Anna Rita :</t>
    </r>
    <r>
      <rPr>
        <sz val="8"/>
        <rFont val="Arial"/>
        <family val="2"/>
      </rPr>
      <t>(Il responsabile del servizio indica non erogabile l'indennità di responsabilità ai VV.UU.)</t>
    </r>
  </si>
  <si>
    <t>Il responsabile del servizio indica non erogabile l'indennità di responsabilità ai VV.UU.</t>
  </si>
  <si>
    <r>
      <rPr>
        <b/>
        <sz val="8"/>
        <rFont val="Arial"/>
        <family val="2"/>
      </rPr>
      <t>Mulas Sebastiano:</t>
    </r>
    <r>
      <rPr>
        <sz val="8"/>
        <rFont val="Arial"/>
        <family val="2"/>
      </rPr>
      <t>(Il responsabile del servizio indica non erogabile l'indennità di responsabilità ai VV.UU.)</t>
    </r>
  </si>
  <si>
    <t>Cicalo Battista (attribuita corr.dal Responsabile del servizio per:1.097,36 su 1.828,93)</t>
  </si>
  <si>
    <r>
      <rPr>
        <b/>
        <sz val="8"/>
        <rFont val="Arial"/>
        <family val="2"/>
      </rPr>
      <t>Loddo Mario   -</t>
    </r>
    <r>
      <rPr>
        <sz val="8"/>
        <rFont val="Arial"/>
        <family val="2"/>
      </rPr>
      <t xml:space="preserve"> (Ind.rischio: certificato Attrib. dal Resp.Serv.P.O., con la presente e con l'annesso all.A/1, calcolato su  giorni pres-sogg.Indenn/ assenzaNon sogg.Indenn.: Calcolo giorni pres/sogg.: </t>
    </r>
    <r>
      <rPr>
        <b/>
        <sz val="8"/>
        <rFont val="Arial"/>
        <family val="2"/>
      </rPr>
      <t>360/ann</t>
    </r>
    <r>
      <rPr>
        <sz val="8"/>
        <rFont val="Arial"/>
        <family val="2"/>
      </rPr>
      <t>.(-)meno gg.assenze.e non sogg.=-tot.gg30:(-1,1538*30gg:-</t>
    </r>
    <r>
      <rPr>
        <b/>
        <sz val="8"/>
        <rFont val="Arial"/>
        <family val="2"/>
      </rPr>
      <t>34,61)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=325,38 </t>
    </r>
    <r>
      <rPr>
        <sz val="8"/>
        <rFont val="Arial"/>
        <family val="2"/>
      </rPr>
      <t>(Indennità attrib./attestata dal Resp.Serv.:Euro 325,38)</t>
    </r>
  </si>
  <si>
    <r>
      <rPr>
        <b/>
        <sz val="8"/>
        <rFont val="Arial"/>
        <family val="2"/>
      </rPr>
      <t xml:space="preserve">Sanna Pietro </t>
    </r>
    <r>
      <rPr>
        <sz val="8"/>
        <rFont val="Arial"/>
        <family val="2"/>
      </rPr>
      <t xml:space="preserve">-    (Ind.rischio: certificato Attrib.dal Resp.Serv.P.O., con la presente  con l'annesso all.A/1, calcolato su  giorni pres-sogg.Indenn/ assenzaNon sogg.Indenn.: Calcolo giorni pres/sogg.: </t>
    </r>
    <r>
      <rPr>
        <b/>
        <sz val="8"/>
        <rFont val="Arial"/>
        <family val="2"/>
      </rPr>
      <t>360/ann.</t>
    </r>
    <r>
      <rPr>
        <sz val="8"/>
        <rFont val="Arial"/>
        <family val="2"/>
      </rPr>
      <t>(-)meno gg.assenze.e non sogg.:per tot.gg38:(-1,1538*38gg:</t>
    </r>
    <r>
      <rPr>
        <b/>
        <sz val="8"/>
        <rFont val="Arial"/>
        <family val="2"/>
      </rPr>
      <t>-43,85</t>
    </r>
    <r>
      <rPr>
        <sz val="8"/>
        <rFont val="Arial"/>
        <family val="2"/>
      </rPr>
      <t xml:space="preserve">) </t>
    </r>
    <r>
      <rPr>
        <b/>
        <sz val="8"/>
        <rFont val="Arial"/>
        <family val="2"/>
      </rPr>
      <t xml:space="preserve">=316,15 </t>
    </r>
    <r>
      <rPr>
        <sz val="8"/>
        <rFont val="Arial"/>
        <family val="2"/>
      </rPr>
      <t>(Indennità attrib./attestata dal Resp.Serv.:Euro  316,15)</t>
    </r>
  </si>
  <si>
    <t>(attribuita corr.dal Responsabile del servizio per:1.097,36 su 1.828,93)</t>
  </si>
  <si>
    <t>(da certific. P.O/R.S. da calcolare su  giorni presenza: cui si rinvia)</t>
  </si>
  <si>
    <t xml:space="preserve">b) Tot economie fondo anno prec. </t>
  </si>
  <si>
    <t>perc.finanz.nel contratto dec.:</t>
  </si>
  <si>
    <t xml:space="preserve">minori spese/economie:da inserire nella voce produttività 2014  </t>
  </si>
  <si>
    <t xml:space="preserve"> a) Tot. ONERI DIRETTI: 2014 - competenza- CAP. 97+  :altro cap.)</t>
  </si>
  <si>
    <t>IMPORTI  TOTALI  FONDO 2014:  ONERI DIRETTI (capp. 97+   altro cap.)</t>
  </si>
  <si>
    <t>Ind.Responsab.Attrib.dai Respons. Serv. su(=base meno perc. contratt.minore copert.spese: 91,4467% Tot.iniziali =18.000,00</t>
  </si>
  <si>
    <r>
      <t>Indennità di Rischio</t>
    </r>
    <r>
      <rPr>
        <sz val="8.5"/>
        <rFont val="Arial"/>
        <family val="2"/>
      </rPr>
      <t>:attribuito dai Resp.Serv. (imp.iniziale= 1.080,00)</t>
    </r>
  </si>
  <si>
    <r>
      <rPr>
        <b/>
        <sz val="8.5"/>
        <rFont val="Arial"/>
        <family val="2"/>
      </rPr>
      <t xml:space="preserve">Ind.Reperibilità </t>
    </r>
    <r>
      <rPr>
        <sz val="8.5"/>
        <rFont val="Arial"/>
        <family val="2"/>
      </rPr>
      <t>attrib.dai Resp.Serv</t>
    </r>
    <r>
      <rPr>
        <sz val="8"/>
        <rFont val="Arial"/>
        <family val="2"/>
      </rPr>
      <t>.(iniz=6.342,62:presunta su 64 fest/tutti e 51 sabati anagr.)</t>
    </r>
  </si>
  <si>
    <r>
      <t>Ind.Produttività collettiva:</t>
    </r>
    <r>
      <rPr>
        <sz val="8"/>
        <rFont val="Arial"/>
        <family val="2"/>
      </rPr>
      <t xml:space="preserve"> mancano Attrib.RespServ.:per dipendente (iniz=6113,13)</t>
    </r>
  </si>
  <si>
    <t>CAT. ECON. Dot.organica vigente</t>
  </si>
  <si>
    <t>(min.spese:già in produtt.)</t>
  </si>
  <si>
    <t>Verif.tot. compless.:</t>
  </si>
  <si>
    <t>2)Attività accertam. ICI- Art. 59,c.1, 1p. - D.Lgs 446/1997 , (SPESA: capp. 96/on.dir. - 98 E 99 - ENTRATA CAP. 17-18) - Revisione da impegni fine 2014=0,00</t>
  </si>
  <si>
    <t>3)Compensi Istat  (SPESA: art. 92 - 4001/tit. 4 - ENTRATA CAP. 2601/Tit.6) -Revisione da impegni 2014=0,00</t>
  </si>
  <si>
    <t>1)Incentivi progettazione -Art. 18 Legge 109/1994 e s.m.i. D.Lgs 163/2006, (SPESA: capp. 94/on.dir. - 98 E 99 - ENTRATA CAP. 686)   -Revisione da impegni Area Tecnica 2014=11.177,33+oneri riflessi (Determinati dal Resp. Serv.Tecnico:concernenti normativa fino ad agosto 2014.</t>
  </si>
  <si>
    <t xml:space="preserve">si presuppone l'accert. in entrata compatibile con gli impegni  </t>
  </si>
  <si>
    <t>TOT.</t>
  </si>
  <si>
    <t xml:space="preserve"> IRAP 5,95% (da 8,50% a 2,55%)</t>
  </si>
  <si>
    <t>note: (si considerà l'irap sulle voci vincolate ancora all'8,50% in attesa di disp. reg.li in merito a tali particolari interventi)</t>
  </si>
  <si>
    <t xml:space="preserve"> IRAP 5,95% (da 8,50% a 2,55%): </t>
  </si>
  <si>
    <t>TOTALI   FONDO  FINALE 2014    -</t>
  </si>
  <si>
    <t>3                       VOCI   VARIABILI SU ATTRIBUZIONI DEI RESPONSABILI</t>
  </si>
  <si>
    <r>
      <t xml:space="preserve">Totale risorse variabili  soggettnon vincolate: soggette a contrattazione non vincolata  </t>
    </r>
    <r>
      <rPr>
        <sz val="9"/>
        <color rgb="FFC00000"/>
        <rFont val="Calibri"/>
        <family val="2"/>
        <scheme val="minor"/>
      </rPr>
      <t>(Ridotte di  1.153,00 )</t>
    </r>
  </si>
  <si>
    <t>€.75,70  sul cap.___ straordin.inutilizzato solo nel 2014</t>
  </si>
  <si>
    <r>
      <t xml:space="preserve">Incentivi per la progettazione ex art. 92 cc5 e 6 del D.Lgs 163/2006 ed ex L. 109/94  - (art. 15 c 1 lett. k) - non assoggettate a vincoli ex art. 9 c.bis L:162/10 e ss.mm. </t>
    </r>
    <r>
      <rPr>
        <b/>
        <sz val="8"/>
        <rFont val="Arial"/>
        <family val="2"/>
      </rPr>
      <t>(€18.825,30:su previsioni iniziali di bilancio: (SOMME ACC/UTILIZZATE su cap.96/s:Euro11.177,33)</t>
    </r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</si>
</sst>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0_ ;\-0\ "/>
    <numFmt numFmtId="166" formatCode="#,##0_ ;\-#,##0\ "/>
    <numFmt numFmtId="167" formatCode="_-* #,##0_-;\-* #,##0_-;_-* &quot;-&quot;??_-;_-@_-"/>
    <numFmt numFmtId="168" formatCode="0.00%_-;\-* #,##0_-;_-* &quot;-&quot;??_-;_-@_-"/>
    <numFmt numFmtId="169" formatCode="_-* #,##0.0000_-;\-* #,##0.0000_-;_-* &quot;-&quot;??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theme="3" tint="0.39997558519241921"/>
      <name val="Calibri"/>
      <family val="2"/>
      <scheme val="minor"/>
    </font>
    <font>
      <sz val="11"/>
      <color theme="3" tint="0.39997558519241921"/>
      <name val="Times New Roman"/>
      <family val="1"/>
    </font>
    <font>
      <b/>
      <sz val="11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C00000"/>
      <name val="Calibri"/>
      <family val="2"/>
      <scheme val="minor"/>
    </font>
    <font>
      <b/>
      <sz val="9"/>
      <color rgb="FFC00000"/>
      <name val="Arial"/>
      <family val="2"/>
    </font>
    <font>
      <b/>
      <sz val="10"/>
      <color rgb="FFC00000"/>
      <name val="Times New Roman"/>
      <family val="1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i/>
      <vertAlign val="superscript"/>
      <sz val="14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9"/>
      <color theme="5"/>
      <name val="Arial"/>
      <family val="2"/>
    </font>
    <font>
      <b/>
      <i/>
      <sz val="10"/>
      <name val="Arial"/>
      <family val="2"/>
    </font>
    <font>
      <i/>
      <vertAlign val="superscript"/>
      <sz val="11"/>
      <name val="Arial"/>
      <family val="2"/>
    </font>
    <font>
      <b/>
      <sz val="10"/>
      <color theme="5"/>
      <name val="Arial"/>
      <family val="2"/>
    </font>
    <font>
      <i/>
      <sz val="8"/>
      <color theme="1"/>
      <name val="Arial"/>
      <family val="2"/>
    </font>
    <font>
      <i/>
      <vertAlign val="superscript"/>
      <sz val="10.35"/>
      <name val="Arial"/>
      <family val="2"/>
    </font>
    <font>
      <b/>
      <i/>
      <vertAlign val="superscript"/>
      <sz val="11"/>
      <name val="Arial"/>
      <family val="2"/>
    </font>
    <font>
      <b/>
      <u/>
      <sz val="14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FF"/>
      <name val="Arial"/>
      <family val="2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theme="3" tint="-0.249977111117893"/>
      <name val="Arial"/>
      <family val="2"/>
    </font>
    <font>
      <b/>
      <sz val="8"/>
      <color indexed="81"/>
      <name val="Tahoma"/>
      <family val="2"/>
    </font>
    <font>
      <b/>
      <sz val="7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.5"/>
      <name val="Arial"/>
      <family val="2"/>
    </font>
    <font>
      <b/>
      <sz val="7"/>
      <name val="Arial"/>
      <family val="2"/>
    </font>
    <font>
      <sz val="9"/>
      <name val="Times New Roman"/>
      <family val="1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9"/>
      <color rgb="FFFF0000"/>
      <name val="Arial"/>
      <family val="2"/>
    </font>
    <font>
      <sz val="11"/>
      <color theme="1"/>
      <name val="Times New Roman"/>
      <family val="1"/>
    </font>
    <font>
      <b/>
      <sz val="10"/>
      <color rgb="FFFF0000"/>
      <name val="Arial"/>
      <family val="2"/>
    </font>
    <font>
      <sz val="10"/>
      <color theme="1"/>
      <name val="Times New Roman"/>
      <family val="1"/>
    </font>
    <font>
      <sz val="8.5"/>
      <name val="Arial"/>
      <family val="2"/>
    </font>
    <font>
      <b/>
      <sz val="8.5"/>
      <name val="Arial"/>
      <family val="2"/>
    </font>
    <font>
      <b/>
      <sz val="8.5"/>
      <color rgb="FFFF0000"/>
      <name val="Arial"/>
      <family val="2"/>
    </font>
    <font>
      <sz val="8.5"/>
      <name val="Calibri"/>
      <family val="2"/>
      <scheme val="minor"/>
    </font>
    <font>
      <sz val="8.5"/>
      <color theme="1"/>
      <name val="Times New Roman"/>
      <family val="1"/>
    </font>
    <font>
      <sz val="8.5"/>
      <color theme="3" tint="0.39997558519241921"/>
      <name val="Calibri"/>
      <family val="2"/>
      <scheme val="minor"/>
    </font>
    <font>
      <sz val="8.5"/>
      <color theme="1"/>
      <name val="Arial"/>
      <family val="2"/>
    </font>
    <font>
      <sz val="9"/>
      <color theme="1"/>
      <name val="Times New Roman"/>
      <family val="1"/>
    </font>
    <font>
      <sz val="9"/>
      <color theme="3" tint="0.3999755851924192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rgb="FFC00000"/>
      <name val="Arial"/>
      <family val="2"/>
    </font>
    <font>
      <b/>
      <sz val="8.6999999999999993"/>
      <name val="Arial"/>
      <family val="2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9.5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sz val="8"/>
      <color rgb="FFFF0000"/>
      <name val="Calibri"/>
      <family val="2"/>
      <scheme val="minor"/>
    </font>
    <font>
      <sz val="7.5"/>
      <color indexed="81"/>
      <name val="Tahoma"/>
      <family val="2"/>
    </font>
    <font>
      <sz val="11"/>
      <name val="Arial"/>
      <family val="2"/>
    </font>
    <font>
      <b/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66"/>
        <bgColor indexed="64"/>
      </patternFill>
    </fill>
    <fill>
      <patternFill patternType="gray125"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9" fillId="0" borderId="0"/>
    <xf numFmtId="43" fontId="79" fillId="0" borderId="0" applyFont="0" applyFill="0" applyBorder="0" applyAlignment="0" applyProtection="0"/>
    <xf numFmtId="41" fontId="79" fillId="0" borderId="0" applyFont="0" applyFill="0" applyBorder="0" applyAlignment="0" applyProtection="0"/>
  </cellStyleXfs>
  <cellXfs count="1010">
    <xf numFmtId="0" fontId="0" fillId="0" borderId="0" xfId="0"/>
    <xf numFmtId="43" fontId="0" fillId="0" borderId="0" xfId="0" applyNumberFormat="1"/>
    <xf numFmtId="0" fontId="0" fillId="0" borderId="0" xfId="0" applyBorder="1"/>
    <xf numFmtId="43" fontId="0" fillId="0" borderId="0" xfId="0" applyNumberFormat="1" applyBorder="1"/>
    <xf numFmtId="43" fontId="0" fillId="0" borderId="0" xfId="1" applyFont="1"/>
    <xf numFmtId="0" fontId="4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7" fillId="0" borderId="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43" fontId="8" fillId="0" borderId="19" xfId="1" applyFont="1" applyBorder="1" applyAlignment="1">
      <alignment wrapText="1"/>
    </xf>
    <xf numFmtId="43" fontId="8" fillId="0" borderId="0" xfId="1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43" fontId="8" fillId="0" borderId="14" xfId="1" applyFont="1" applyBorder="1" applyAlignment="1">
      <alignment wrapText="1"/>
    </xf>
    <xf numFmtId="43" fontId="5" fillId="0" borderId="0" xfId="0" applyNumberFormat="1" applyFont="1" applyFill="1" applyBorder="1" applyAlignment="1">
      <alignment horizontal="center" vertical="top" wrapText="1"/>
    </xf>
    <xf numFmtId="0" fontId="13" fillId="3" borderId="20" xfId="0" applyFont="1" applyFill="1" applyBorder="1"/>
    <xf numFmtId="43" fontId="8" fillId="0" borderId="2" xfId="1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3" borderId="10" xfId="0" applyFont="1" applyFill="1" applyBorder="1" applyAlignment="1">
      <alignment wrapText="1"/>
    </xf>
    <xf numFmtId="43" fontId="8" fillId="3" borderId="10" xfId="1" applyFont="1" applyFill="1" applyBorder="1" applyAlignment="1">
      <alignment wrapText="1"/>
    </xf>
    <xf numFmtId="43" fontId="4" fillId="3" borderId="11" xfId="0" applyNumberFormat="1" applyFont="1" applyFill="1" applyBorder="1" applyAlignment="1">
      <alignment horizontal="center" vertical="top" wrapText="1"/>
    </xf>
    <xf numFmtId="43" fontId="5" fillId="3" borderId="16" xfId="0" applyNumberFormat="1" applyFont="1" applyFill="1" applyBorder="1" applyAlignment="1">
      <alignment horizontal="center" vertical="top" wrapText="1"/>
    </xf>
    <xf numFmtId="43" fontId="4" fillId="3" borderId="0" xfId="0" applyNumberFormat="1" applyFont="1" applyFill="1" applyBorder="1" applyAlignment="1">
      <alignment horizontal="center" vertical="top" wrapText="1"/>
    </xf>
    <xf numFmtId="43" fontId="4" fillId="3" borderId="13" xfId="0" applyNumberFormat="1" applyFont="1" applyFill="1" applyBorder="1" applyAlignment="1">
      <alignment horizontal="center" vertical="top" wrapText="1"/>
    </xf>
    <xf numFmtId="43" fontId="5" fillId="3" borderId="13" xfId="0" applyNumberFormat="1" applyFont="1" applyFill="1" applyBorder="1" applyAlignment="1">
      <alignment horizontal="center" vertical="top" wrapText="1"/>
    </xf>
    <xf numFmtId="43" fontId="4" fillId="3" borderId="16" xfId="0" applyNumberFormat="1" applyFont="1" applyFill="1" applyBorder="1" applyAlignment="1">
      <alignment horizontal="center" vertical="top" wrapText="1"/>
    </xf>
    <xf numFmtId="43" fontId="8" fillId="0" borderId="17" xfId="1" applyFont="1" applyFill="1" applyBorder="1" applyAlignment="1">
      <alignment wrapText="1"/>
    </xf>
    <xf numFmtId="43" fontId="14" fillId="3" borderId="16" xfId="0" applyNumberFormat="1" applyFont="1" applyFill="1" applyBorder="1" applyAlignment="1">
      <alignment horizontal="center" vertical="top" wrapText="1"/>
    </xf>
    <xf numFmtId="43" fontId="4" fillId="3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8" fillId="0" borderId="0" xfId="0" applyFont="1" applyFill="1" applyAlignment="1">
      <alignment wrapText="1"/>
    </xf>
    <xf numFmtId="43" fontId="7" fillId="0" borderId="0" xfId="1" applyFont="1" applyBorder="1"/>
    <xf numFmtId="0" fontId="12" fillId="0" borderId="0" xfId="0" applyFont="1" applyBorder="1" applyAlignment="1">
      <alignment wrapText="1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0" fillId="0" borderId="26" xfId="0" applyBorder="1"/>
    <xf numFmtId="0" fontId="3" fillId="0" borderId="1" xfId="0" applyFont="1" applyBorder="1" applyAlignment="1">
      <alignment wrapText="1"/>
    </xf>
    <xf numFmtId="41" fontId="0" fillId="2" borderId="0" xfId="0" applyNumberFormat="1" applyFill="1" applyBorder="1"/>
    <xf numFmtId="0" fontId="7" fillId="0" borderId="1" xfId="0" applyFont="1" applyBorder="1" applyAlignment="1">
      <alignment wrapText="1"/>
    </xf>
    <xf numFmtId="164" fontId="8" fillId="0" borderId="2" xfId="2" applyNumberFormat="1" applyFont="1" applyBorder="1"/>
    <xf numFmtId="43" fontId="9" fillId="0" borderId="0" xfId="0" applyNumberFormat="1" applyFont="1"/>
    <xf numFmtId="0" fontId="7" fillId="4" borderId="15" xfId="0" applyFont="1" applyFill="1" applyBorder="1" applyAlignment="1">
      <alignment wrapText="1"/>
    </xf>
    <xf numFmtId="0" fontId="4" fillId="0" borderId="26" xfId="0" applyFont="1" applyBorder="1" applyAlignment="1">
      <alignment horizontal="center"/>
    </xf>
    <xf numFmtId="164" fontId="4" fillId="0" borderId="37" xfId="0" applyNumberFormat="1" applyFont="1" applyBorder="1" applyAlignment="1">
      <alignment horizontal="center"/>
    </xf>
    <xf numFmtId="0" fontId="11" fillId="0" borderId="15" xfId="0" applyFont="1" applyBorder="1" applyAlignment="1">
      <alignment wrapText="1"/>
    </xf>
    <xf numFmtId="4" fontId="0" fillId="0" borderId="0" xfId="0" applyNumberFormat="1"/>
    <xf numFmtId="0" fontId="21" fillId="0" borderId="8" xfId="0" applyFont="1" applyBorder="1" applyAlignment="1">
      <alignment wrapText="1"/>
    </xf>
    <xf numFmtId="0" fontId="16" fillId="0" borderId="33" xfId="0" applyFont="1" applyBorder="1" applyAlignment="1">
      <alignment wrapText="1"/>
    </xf>
    <xf numFmtId="43" fontId="20" fillId="0" borderId="39" xfId="1" applyFont="1" applyBorder="1"/>
    <xf numFmtId="43" fontId="20" fillId="0" borderId="40" xfId="1" applyFont="1" applyBorder="1"/>
    <xf numFmtId="0" fontId="22" fillId="0" borderId="41" xfId="0" applyFont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0" fillId="0" borderId="38" xfId="0" applyBorder="1"/>
    <xf numFmtId="0" fontId="0" fillId="0" borderId="45" xfId="0" applyBorder="1"/>
    <xf numFmtId="0" fontId="0" fillId="0" borderId="42" xfId="0" applyBorder="1"/>
    <xf numFmtId="0" fontId="8" fillId="2" borderId="31" xfId="0" applyFont="1" applyFill="1" applyBorder="1" applyAlignment="1">
      <alignment wrapText="1"/>
    </xf>
    <xf numFmtId="0" fontId="24" fillId="0" borderId="0" xfId="0" applyFont="1" applyBorder="1" applyAlignment="1">
      <alignment wrapText="1"/>
    </xf>
    <xf numFmtId="43" fontId="3" fillId="0" borderId="0" xfId="1" applyFont="1" applyBorder="1"/>
    <xf numFmtId="0" fontId="13" fillId="0" borderId="0" xfId="0" applyFont="1" applyBorder="1" applyAlignment="1">
      <alignment wrapText="1"/>
    </xf>
    <xf numFmtId="0" fontId="0" fillId="2" borderId="0" xfId="0" applyFill="1"/>
    <xf numFmtId="0" fontId="13" fillId="0" borderId="41" xfId="0" applyFont="1" applyBorder="1" applyAlignment="1">
      <alignment wrapText="1"/>
    </xf>
    <xf numFmtId="0" fontId="0" fillId="0" borderId="46" xfId="0" applyBorder="1"/>
    <xf numFmtId="43" fontId="4" fillId="0" borderId="32" xfId="1" applyFont="1" applyBorder="1"/>
    <xf numFmtId="43" fontId="0" fillId="0" borderId="46" xfId="0" applyNumberFormat="1" applyBorder="1"/>
    <xf numFmtId="4" fontId="0" fillId="0" borderId="17" xfId="0" applyNumberFormat="1" applyBorder="1"/>
    <xf numFmtId="43" fontId="9" fillId="0" borderId="0" xfId="1" applyFont="1"/>
    <xf numFmtId="0" fontId="0" fillId="0" borderId="47" xfId="0" applyBorder="1"/>
    <xf numFmtId="0" fontId="23" fillId="0" borderId="0" xfId="0" applyFont="1"/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5" fillId="0" borderId="0" xfId="0" applyFont="1"/>
    <xf numFmtId="43" fontId="25" fillId="0" borderId="0" xfId="0" applyNumberFormat="1" applyFont="1"/>
    <xf numFmtId="43" fontId="25" fillId="0" borderId="0" xfId="0" applyNumberFormat="1" applyFont="1" applyBorder="1"/>
    <xf numFmtId="0" fontId="25" fillId="0" borderId="0" xfId="0" applyFont="1" applyBorder="1"/>
    <xf numFmtId="4" fontId="25" fillId="0" borderId="0" xfId="0" applyNumberFormat="1" applyFont="1"/>
    <xf numFmtId="0" fontId="27" fillId="0" borderId="0" xfId="0" applyFont="1" applyBorder="1"/>
    <xf numFmtId="0" fontId="27" fillId="0" borderId="0" xfId="0" applyFont="1" applyFill="1" applyBorder="1"/>
    <xf numFmtId="4" fontId="26" fillId="0" borderId="0" xfId="0" applyNumberFormat="1" applyFont="1" applyBorder="1"/>
    <xf numFmtId="43" fontId="9" fillId="0" borderId="0" xfId="0" applyNumberFormat="1" applyFont="1" applyFill="1"/>
    <xf numFmtId="43" fontId="27" fillId="0" borderId="0" xfId="1" applyFont="1" applyBorder="1"/>
    <xf numFmtId="43" fontId="27" fillId="0" borderId="0" xfId="0" applyNumberFormat="1" applyFont="1" applyBorder="1"/>
    <xf numFmtId="0" fontId="29" fillId="0" borderId="0" xfId="0" applyFont="1" applyBorder="1"/>
    <xf numFmtId="4" fontId="25" fillId="0" borderId="0" xfId="0" applyNumberFormat="1" applyFont="1" applyBorder="1"/>
    <xf numFmtId="0" fontId="4" fillId="0" borderId="1" xfId="0" applyFont="1" applyBorder="1" applyAlignment="1">
      <alignment horizontal="left"/>
    </xf>
    <xf numFmtId="0" fontId="0" fillId="0" borderId="1" xfId="0" applyBorder="1"/>
    <xf numFmtId="43" fontId="0" fillId="0" borderId="12" xfId="1" applyFont="1" applyBorder="1"/>
    <xf numFmtId="43" fontId="0" fillId="0" borderId="3" xfId="1" applyFont="1" applyBorder="1"/>
    <xf numFmtId="43" fontId="0" fillId="0" borderId="3" xfId="0" applyNumberFormat="1" applyBorder="1"/>
    <xf numFmtId="43" fontId="0" fillId="0" borderId="30" xfId="0" applyNumberFormat="1" applyFill="1" applyBorder="1"/>
    <xf numFmtId="0" fontId="16" fillId="0" borderId="12" xfId="0" applyFont="1" applyBorder="1"/>
    <xf numFmtId="0" fontId="0" fillId="0" borderId="33" xfId="0" applyBorder="1"/>
    <xf numFmtId="0" fontId="19" fillId="0" borderId="14" xfId="0" applyFont="1" applyBorder="1"/>
    <xf numFmtId="2" fontId="0" fillId="0" borderId="46" xfId="0" applyNumberFormat="1" applyBorder="1"/>
    <xf numFmtId="47" fontId="30" fillId="0" borderId="0" xfId="0" quotePrefix="1" applyNumberFormat="1" applyFont="1" applyBorder="1"/>
    <xf numFmtId="47" fontId="9" fillId="0" borderId="0" xfId="0" quotePrefix="1" applyNumberFormat="1" applyFont="1" applyBorder="1"/>
    <xf numFmtId="164" fontId="8" fillId="0" borderId="2" xfId="2" applyNumberFormat="1" applyFont="1" applyFill="1" applyBorder="1"/>
    <xf numFmtId="4" fontId="31" fillId="0" borderId="2" xfId="0" applyNumberFormat="1" applyFont="1" applyFill="1" applyBorder="1"/>
    <xf numFmtId="164" fontId="8" fillId="0" borderId="14" xfId="2" applyNumberFormat="1" applyFont="1" applyBorder="1"/>
    <xf numFmtId="164" fontId="8" fillId="0" borderId="8" xfId="2" applyNumberFormat="1" applyFont="1" applyBorder="1"/>
    <xf numFmtId="0" fontId="4" fillId="0" borderId="5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4" fontId="8" fillId="0" borderId="38" xfId="2" applyNumberFormat="1" applyFont="1" applyBorder="1"/>
    <xf numFmtId="0" fontId="32" fillId="0" borderId="26" xfId="0" applyFont="1" applyBorder="1"/>
    <xf numFmtId="43" fontId="5" fillId="0" borderId="33" xfId="0" applyNumberFormat="1" applyFont="1" applyBorder="1" applyAlignment="1">
      <alignment horizontal="center"/>
    </xf>
    <xf numFmtId="43" fontId="7" fillId="0" borderId="0" xfId="4" applyFont="1" applyBorder="1"/>
    <xf numFmtId="0" fontId="17" fillId="0" borderId="45" xfId="0" applyFont="1" applyFill="1" applyBorder="1" applyAlignment="1">
      <alignment wrapText="1"/>
    </xf>
    <xf numFmtId="0" fontId="17" fillId="0" borderId="46" xfId="0" applyFont="1" applyFill="1" applyBorder="1" applyAlignment="1">
      <alignment wrapText="1"/>
    </xf>
    <xf numFmtId="0" fontId="0" fillId="0" borderId="46" xfId="0" applyFill="1" applyBorder="1"/>
    <xf numFmtId="0" fontId="12" fillId="0" borderId="46" xfId="0" applyFont="1" applyFill="1" applyBorder="1" applyAlignment="1">
      <alignment wrapText="1"/>
    </xf>
    <xf numFmtId="0" fontId="31" fillId="0" borderId="46" xfId="0" applyFont="1" applyBorder="1"/>
    <xf numFmtId="0" fontId="31" fillId="0" borderId="26" xfId="0" applyFont="1" applyBorder="1"/>
    <xf numFmtId="0" fontId="31" fillId="0" borderId="42" xfId="0" applyFont="1" applyBorder="1"/>
    <xf numFmtId="43" fontId="35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right" wrapText="1"/>
    </xf>
    <xf numFmtId="0" fontId="37" fillId="0" borderId="0" xfId="0" applyFont="1" applyBorder="1" applyAlignment="1">
      <alignment horizontal="center"/>
    </xf>
    <xf numFmtId="43" fontId="37" fillId="0" borderId="0" xfId="0" applyNumberFormat="1" applyFont="1" applyBorder="1" applyAlignment="1">
      <alignment horizontal="center"/>
    </xf>
    <xf numFmtId="0" fontId="31" fillId="0" borderId="0" xfId="0" applyFont="1"/>
    <xf numFmtId="0" fontId="39" fillId="0" borderId="0" xfId="0" applyFont="1" applyBorder="1"/>
    <xf numFmtId="0" fontId="4" fillId="0" borderId="0" xfId="0" applyFont="1" applyAlignment="1"/>
    <xf numFmtId="0" fontId="3" fillId="0" borderId="0" xfId="0" applyFont="1" applyBorder="1"/>
    <xf numFmtId="0" fontId="41" fillId="0" borderId="0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7" fillId="0" borderId="52" xfId="0" applyFont="1" applyBorder="1" applyAlignment="1">
      <alignment wrapText="1"/>
    </xf>
    <xf numFmtId="0" fontId="4" fillId="5" borderId="55" xfId="0" applyFont="1" applyFill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7" fillId="0" borderId="0" xfId="0" applyFont="1" applyFill="1" applyBorder="1"/>
    <xf numFmtId="0" fontId="7" fillId="6" borderId="6" xfId="0" applyFont="1" applyFill="1" applyBorder="1"/>
    <xf numFmtId="0" fontId="7" fillId="6" borderId="45" xfId="0" applyFont="1" applyFill="1" applyBorder="1"/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7" fillId="0" borderId="29" xfId="0" applyFont="1" applyBorder="1"/>
    <xf numFmtId="0" fontId="3" fillId="0" borderId="58" xfId="0" applyFont="1" applyBorder="1" applyAlignment="1">
      <alignment horizontal="center"/>
    </xf>
    <xf numFmtId="164" fontId="7" fillId="0" borderId="0" xfId="5" applyNumberFormat="1" applyFont="1" applyFill="1" applyBorder="1"/>
    <xf numFmtId="0" fontId="3" fillId="0" borderId="29" xfId="0" applyFont="1" applyBorder="1"/>
    <xf numFmtId="164" fontId="7" fillId="0" borderId="2" xfId="0" applyNumberFormat="1" applyFont="1" applyBorder="1"/>
    <xf numFmtId="0" fontId="3" fillId="0" borderId="59" xfId="0" applyFont="1" applyBorder="1" applyAlignment="1">
      <alignment horizontal="center"/>
    </xf>
    <xf numFmtId="0" fontId="7" fillId="0" borderId="51" xfId="0" applyFont="1" applyBorder="1"/>
    <xf numFmtId="0" fontId="3" fillId="0" borderId="52" xfId="0" applyFont="1" applyBorder="1" applyAlignment="1">
      <alignment horizontal="center"/>
    </xf>
    <xf numFmtId="164" fontId="7" fillId="0" borderId="0" xfId="0" applyNumberFormat="1" applyFont="1" applyFill="1" applyBorder="1"/>
    <xf numFmtId="0" fontId="7" fillId="6" borderId="34" xfId="0" applyFont="1" applyFill="1" applyBorder="1"/>
    <xf numFmtId="0" fontId="3" fillId="6" borderId="60" xfId="0" applyFont="1" applyFill="1" applyBorder="1"/>
    <xf numFmtId="0" fontId="7" fillId="0" borderId="1" xfId="0" applyFont="1" applyBorder="1"/>
    <xf numFmtId="0" fontId="3" fillId="0" borderId="46" xfId="0" applyFont="1" applyBorder="1" applyAlignment="1">
      <alignment horizontal="center"/>
    </xf>
    <xf numFmtId="43" fontId="7" fillId="0" borderId="0" xfId="4" applyFont="1" applyFill="1" applyBorder="1"/>
    <xf numFmtId="0" fontId="3" fillId="0" borderId="0" xfId="0" applyFont="1" applyBorder="1" applyAlignment="1">
      <alignment horizontal="center"/>
    </xf>
    <xf numFmtId="0" fontId="7" fillId="0" borderId="28" xfId="0" applyFont="1" applyBorder="1"/>
    <xf numFmtId="0" fontId="7" fillId="0" borderId="27" xfId="0" applyFont="1" applyBorder="1"/>
    <xf numFmtId="0" fontId="7" fillId="6" borderId="60" xfId="0" applyFont="1" applyFill="1" applyBorder="1"/>
    <xf numFmtId="0" fontId="7" fillId="0" borderId="58" xfId="0" applyFont="1" applyBorder="1"/>
    <xf numFmtId="0" fontId="7" fillId="0" borderId="52" xfId="0" applyFont="1" applyBorder="1"/>
    <xf numFmtId="0" fontId="5" fillId="0" borderId="1" xfId="0" applyFont="1" applyBorder="1"/>
    <xf numFmtId="0" fontId="5" fillId="0" borderId="0" xfId="0" applyFont="1" applyBorder="1"/>
    <xf numFmtId="43" fontId="5" fillId="0" borderId="2" xfId="0" applyNumberFormat="1" applyFont="1" applyBorder="1"/>
    <xf numFmtId="164" fontId="3" fillId="0" borderId="2" xfId="0" applyNumberFormat="1" applyFont="1" applyBorder="1"/>
    <xf numFmtId="164" fontId="3" fillId="0" borderId="19" xfId="0" applyNumberFormat="1" applyFont="1" applyBorder="1"/>
    <xf numFmtId="164" fontId="3" fillId="0" borderId="44" xfId="0" applyNumberFormat="1" applyFont="1" applyBorder="1"/>
    <xf numFmtId="164" fontId="7" fillId="0" borderId="0" xfId="0" applyNumberFormat="1" applyFont="1" applyBorder="1"/>
    <xf numFmtId="43" fontId="5" fillId="0" borderId="1" xfId="0" applyNumberFormat="1" applyFont="1" applyBorder="1"/>
    <xf numFmtId="43" fontId="5" fillId="0" borderId="0" xfId="0" applyNumberFormat="1" applyFont="1" applyBorder="1"/>
    <xf numFmtId="43" fontId="5" fillId="0" borderId="2" xfId="0" applyNumberFormat="1" applyFont="1" applyFill="1" applyBorder="1"/>
    <xf numFmtId="0" fontId="5" fillId="0" borderId="26" xfId="0" applyFont="1" applyBorder="1"/>
    <xf numFmtId="43" fontId="0" fillId="0" borderId="0" xfId="4" applyFont="1" applyFill="1" applyBorder="1"/>
    <xf numFmtId="43" fontId="0" fillId="0" borderId="0" xfId="0" applyNumberFormat="1" applyFill="1" applyBorder="1"/>
    <xf numFmtId="43" fontId="4" fillId="0" borderId="50" xfId="0" applyNumberFormat="1" applyFont="1" applyFill="1" applyBorder="1"/>
    <xf numFmtId="43" fontId="4" fillId="0" borderId="32" xfId="0" applyNumberFormat="1" applyFont="1" applyFill="1" applyBorder="1"/>
    <xf numFmtId="43" fontId="9" fillId="0" borderId="0" xfId="4" applyFont="1" applyFill="1" applyBorder="1"/>
    <xf numFmtId="0" fontId="4" fillId="0" borderId="0" xfId="0" applyFont="1" applyFill="1" applyBorder="1"/>
    <xf numFmtId="0" fontId="7" fillId="0" borderId="2" xfId="0" applyFont="1" applyFill="1" applyBorder="1" applyAlignment="1">
      <alignment horizontal="center" wrapText="1"/>
    </xf>
    <xf numFmtId="43" fontId="0" fillId="0" borderId="2" xfId="4" applyFont="1" applyBorder="1"/>
    <xf numFmtId="164" fontId="0" fillId="0" borderId="0" xfId="0" applyNumberFormat="1" applyBorder="1"/>
    <xf numFmtId="0" fontId="8" fillId="0" borderId="0" xfId="0" applyFont="1" applyFill="1" applyBorder="1" applyAlignment="1">
      <alignment wrapText="1"/>
    </xf>
    <xf numFmtId="43" fontId="12" fillId="0" borderId="0" xfId="0" applyNumberFormat="1" applyFont="1" applyBorder="1" applyAlignment="1">
      <alignment wrapText="1"/>
    </xf>
    <xf numFmtId="46" fontId="25" fillId="0" borderId="0" xfId="0" applyNumberFormat="1" applyFont="1" applyAlignment="1">
      <alignment horizontal="right"/>
    </xf>
    <xf numFmtId="0" fontId="0" fillId="0" borderId="0" xfId="0" applyBorder="1"/>
    <xf numFmtId="43" fontId="7" fillId="0" borderId="0" xfId="1" applyFont="1" applyFill="1" applyBorder="1"/>
    <xf numFmtId="43" fontId="8" fillId="0" borderId="2" xfId="0" applyNumberFormat="1" applyFont="1" applyBorder="1"/>
    <xf numFmtId="0" fontId="6" fillId="0" borderId="18" xfId="0" applyFont="1" applyBorder="1" applyAlignment="1">
      <alignment horizontal="left" vertical="center" wrapText="1"/>
    </xf>
    <xf numFmtId="43" fontId="8" fillId="0" borderId="2" xfId="0" applyNumberFormat="1" applyFont="1" applyFill="1" applyBorder="1"/>
    <xf numFmtId="43" fontId="3" fillId="0" borderId="9" xfId="4" applyFont="1" applyBorder="1"/>
    <xf numFmtId="164" fontId="3" fillId="0" borderId="2" xfId="5" applyNumberFormat="1" applyFont="1" applyBorder="1"/>
    <xf numFmtId="164" fontId="3" fillId="0" borderId="17" xfId="5" applyNumberFormat="1" applyFont="1" applyBorder="1"/>
    <xf numFmtId="164" fontId="3" fillId="0" borderId="44" xfId="5" applyNumberFormat="1" applyFont="1" applyBorder="1"/>
    <xf numFmtId="164" fontId="3" fillId="0" borderId="8" xfId="5" applyNumberFormat="1" applyFont="1" applyBorder="1"/>
    <xf numFmtId="164" fontId="3" fillId="0" borderId="9" xfId="5" applyNumberFormat="1" applyFont="1" applyBorder="1"/>
    <xf numFmtId="0" fontId="3" fillId="0" borderId="9" xfId="0" applyFont="1" applyBorder="1" applyAlignment="1">
      <alignment horizontal="right"/>
    </xf>
    <xf numFmtId="164" fontId="3" fillId="0" borderId="19" xfId="5" applyNumberFormat="1" applyFont="1" applyBorder="1"/>
    <xf numFmtId="0" fontId="3" fillId="0" borderId="9" xfId="0" applyFont="1" applyBorder="1"/>
    <xf numFmtId="43" fontId="3" fillId="0" borderId="9" xfId="4" applyFont="1" applyBorder="1" applyAlignment="1">
      <alignment horizontal="right"/>
    </xf>
    <xf numFmtId="0" fontId="3" fillId="0" borderId="2" xfId="0" applyFont="1" applyBorder="1"/>
    <xf numFmtId="0" fontId="3" fillId="0" borderId="44" xfId="0" applyFont="1" applyBorder="1"/>
    <xf numFmtId="164" fontId="3" fillId="0" borderId="61" xfId="5" applyNumberFormat="1" applyFont="1" applyBorder="1"/>
    <xf numFmtId="164" fontId="23" fillId="0" borderId="2" xfId="0" applyNumberFormat="1" applyFont="1" applyBorder="1"/>
    <xf numFmtId="164" fontId="23" fillId="0" borderId="44" xfId="0" applyNumberFormat="1" applyFont="1" applyBorder="1"/>
    <xf numFmtId="43" fontId="13" fillId="0" borderId="38" xfId="0" applyNumberFormat="1" applyFont="1" applyBorder="1"/>
    <xf numFmtId="164" fontId="4" fillId="0" borderId="44" xfId="0" applyNumberFormat="1" applyFont="1" applyBorder="1"/>
    <xf numFmtId="164" fontId="8" fillId="0" borderId="0" xfId="0" applyNumberFormat="1" applyFont="1" applyBorder="1"/>
    <xf numFmtId="43" fontId="5" fillId="0" borderId="0" xfId="0" applyNumberFormat="1" applyFont="1" applyFill="1" applyBorder="1"/>
    <xf numFmtId="43" fontId="8" fillId="0" borderId="0" xfId="4" applyFont="1" applyBorder="1"/>
    <xf numFmtId="43" fontId="5" fillId="9" borderId="12" xfId="1" applyFont="1" applyFill="1" applyBorder="1"/>
    <xf numFmtId="0" fontId="7" fillId="0" borderId="15" xfId="0" applyFont="1" applyFill="1" applyBorder="1" applyAlignment="1">
      <alignment wrapText="1"/>
    </xf>
    <xf numFmtId="43" fontId="13" fillId="9" borderId="8" xfId="0" applyNumberFormat="1" applyFont="1" applyFill="1" applyBorder="1" applyAlignment="1">
      <alignment wrapText="1"/>
    </xf>
    <xf numFmtId="0" fontId="5" fillId="0" borderId="55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43" fillId="0" borderId="55" xfId="0" applyFont="1" applyFill="1" applyBorder="1" applyAlignment="1">
      <alignment wrapText="1"/>
    </xf>
    <xf numFmtId="0" fontId="42" fillId="0" borderId="54" xfId="0" applyFont="1" applyFill="1" applyBorder="1" applyAlignment="1">
      <alignment horizontal="center" wrapText="1"/>
    </xf>
    <xf numFmtId="0" fontId="43" fillId="0" borderId="56" xfId="0" applyFont="1" applyFill="1" applyBorder="1" applyAlignment="1">
      <alignment wrapText="1"/>
    </xf>
    <xf numFmtId="43" fontId="8" fillId="0" borderId="1" xfId="0" applyNumberFormat="1" applyFont="1" applyFill="1" applyBorder="1"/>
    <xf numFmtId="43" fontId="8" fillId="0" borderId="0" xfId="0" applyNumberFormat="1" applyFont="1" applyFill="1" applyBorder="1"/>
    <xf numFmtId="0" fontId="8" fillId="0" borderId="0" xfId="0" applyFont="1" applyFill="1" applyBorder="1"/>
    <xf numFmtId="0" fontId="8" fillId="0" borderId="26" xfId="0" applyFont="1" applyFill="1" applyBorder="1"/>
    <xf numFmtId="164" fontId="8" fillId="0" borderId="26" xfId="5" applyNumberFormat="1" applyFont="1" applyFill="1" applyBorder="1"/>
    <xf numFmtId="43" fontId="6" fillId="0" borderId="2" xfId="4" applyFont="1" applyFill="1" applyBorder="1"/>
    <xf numFmtId="43" fontId="6" fillId="0" borderId="22" xfId="4" applyFont="1" applyFill="1" applyBorder="1"/>
    <xf numFmtId="43" fontId="8" fillId="0" borderId="25" xfId="4" applyFont="1" applyFill="1" applyBorder="1"/>
    <xf numFmtId="43" fontId="8" fillId="0" borderId="44" xfId="4" applyFont="1" applyFill="1" applyBorder="1"/>
    <xf numFmtId="43" fontId="5" fillId="0" borderId="37" xfId="0" applyNumberFormat="1" applyFont="1" applyFill="1" applyBorder="1"/>
    <xf numFmtId="0" fontId="13" fillId="0" borderId="26" xfId="0" applyFont="1" applyFill="1" applyBorder="1"/>
    <xf numFmtId="43" fontId="4" fillId="0" borderId="0" xfId="0" applyNumberFormat="1" applyFont="1" applyFill="1" applyBorder="1"/>
    <xf numFmtId="0" fontId="0" fillId="0" borderId="34" xfId="0" applyFill="1" applyBorder="1"/>
    <xf numFmtId="0" fontId="0" fillId="0" borderId="60" xfId="0" applyFill="1" applyBorder="1"/>
    <xf numFmtId="43" fontId="0" fillId="0" borderId="60" xfId="0" applyNumberFormat="1" applyFill="1" applyBorder="1"/>
    <xf numFmtId="43" fontId="13" fillId="0" borderId="60" xfId="0" applyNumberFormat="1" applyFont="1" applyFill="1" applyBorder="1"/>
    <xf numFmtId="0" fontId="0" fillId="0" borderId="29" xfId="0" applyFill="1" applyBorder="1"/>
    <xf numFmtId="0" fontId="0" fillId="0" borderId="58" xfId="0" applyFill="1" applyBorder="1"/>
    <xf numFmtId="43" fontId="0" fillId="0" borderId="58" xfId="0" applyNumberFormat="1" applyFill="1" applyBorder="1"/>
    <xf numFmtId="43" fontId="13" fillId="0" borderId="58" xfId="0" applyNumberFormat="1" applyFont="1" applyFill="1" applyBorder="1"/>
    <xf numFmtId="0" fontId="0" fillId="0" borderId="52" xfId="0" applyFill="1" applyBorder="1"/>
    <xf numFmtId="43" fontId="4" fillId="0" borderId="52" xfId="0" applyNumberFormat="1" applyFont="1" applyFill="1" applyBorder="1"/>
    <xf numFmtId="43" fontId="5" fillId="0" borderId="52" xfId="0" applyNumberFormat="1" applyFont="1" applyFill="1" applyBorder="1"/>
    <xf numFmtId="43" fontId="16" fillId="0" borderId="0" xfId="0" applyNumberFormat="1" applyFont="1" applyFill="1" applyBorder="1"/>
    <xf numFmtId="0" fontId="0" fillId="0" borderId="0" xfId="0" applyFill="1" applyBorder="1"/>
    <xf numFmtId="43" fontId="44" fillId="0" borderId="12" xfId="1" applyFont="1" applyBorder="1"/>
    <xf numFmtId="43" fontId="11" fillId="0" borderId="12" xfId="1" applyFont="1" applyBorder="1"/>
    <xf numFmtId="43" fontId="30" fillId="0" borderId="0" xfId="0" quotePrefix="1" applyNumberFormat="1" applyFont="1" applyBorder="1"/>
    <xf numFmtId="0" fontId="22" fillId="0" borderId="34" xfId="0" applyFont="1" applyBorder="1"/>
    <xf numFmtId="0" fontId="23" fillId="0" borderId="34" xfId="0" applyFont="1" applyBorder="1"/>
    <xf numFmtId="0" fontId="22" fillId="0" borderId="60" xfId="0" applyFont="1" applyBorder="1"/>
    <xf numFmtId="43" fontId="4" fillId="0" borderId="26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43" fontId="10" fillId="0" borderId="48" xfId="0" applyNumberFormat="1" applyFont="1" applyBorder="1" applyAlignment="1">
      <alignment horizontal="center"/>
    </xf>
    <xf numFmtId="43" fontId="5" fillId="0" borderId="28" xfId="0" applyNumberFormat="1" applyFont="1" applyBorder="1" applyAlignment="1">
      <alignment horizontal="left"/>
    </xf>
    <xf numFmtId="43" fontId="3" fillId="0" borderId="28" xfId="11" applyFont="1" applyBorder="1" applyAlignment="1">
      <alignment horizontal="center"/>
    </xf>
    <xf numFmtId="43" fontId="3" fillId="0" borderId="59" xfId="0" applyNumberFormat="1" applyFont="1" applyBorder="1" applyAlignment="1">
      <alignment horizontal="center"/>
    </xf>
    <xf numFmtId="0" fontId="5" fillId="0" borderId="42" xfId="0" applyFont="1" applyBorder="1" applyAlignment="1">
      <alignment horizontal="left" wrapText="1"/>
    </xf>
    <xf numFmtId="0" fontId="45" fillId="0" borderId="38" xfId="0" applyFont="1" applyBorder="1" applyAlignment="1">
      <alignment horizontal="left" vertical="center" wrapText="1"/>
    </xf>
    <xf numFmtId="43" fontId="3" fillId="0" borderId="38" xfId="0" applyNumberFormat="1" applyFont="1" applyBorder="1" applyAlignment="1">
      <alignment horizontal="center" vertical="center"/>
    </xf>
    <xf numFmtId="0" fontId="10" fillId="9" borderId="2" xfId="0" applyFont="1" applyFill="1" applyBorder="1" applyAlignment="1" applyProtection="1">
      <alignment horizontal="centerContinuous" vertical="center"/>
    </xf>
    <xf numFmtId="165" fontId="10" fillId="9" borderId="2" xfId="1" applyNumberFormat="1" applyFont="1" applyFill="1" applyBorder="1" applyAlignment="1" applyProtection="1">
      <alignment horizontal="centerContinuous" vertical="center"/>
    </xf>
    <xf numFmtId="0" fontId="47" fillId="0" borderId="20" xfId="0" applyFont="1" applyFill="1" applyBorder="1" applyAlignment="1" applyProtection="1">
      <alignment horizontal="left" vertical="center"/>
    </xf>
    <xf numFmtId="166" fontId="48" fillId="0" borderId="20" xfId="1" applyNumberFormat="1" applyFont="1" applyFill="1" applyBorder="1" applyAlignment="1" applyProtection="1">
      <alignment horizontal="left" vertical="center"/>
    </xf>
    <xf numFmtId="166" fontId="49" fillId="0" borderId="20" xfId="1" applyNumberFormat="1" applyFont="1" applyBorder="1" applyAlignment="1">
      <alignment vertical="center"/>
    </xf>
    <xf numFmtId="49" fontId="8" fillId="0" borderId="2" xfId="0" applyNumberFormat="1" applyFont="1" applyFill="1" applyBorder="1" applyAlignment="1" applyProtection="1">
      <alignment horizontal="left" vertical="center" indent="1"/>
    </xf>
    <xf numFmtId="167" fontId="49" fillId="0" borderId="2" xfId="1" applyNumberFormat="1" applyFont="1" applyFill="1" applyBorder="1" applyAlignment="1" applyProtection="1">
      <alignment vertical="center"/>
      <protection locked="0"/>
    </xf>
    <xf numFmtId="49" fontId="51" fillId="0" borderId="2" xfId="0" applyNumberFormat="1" applyFont="1" applyFill="1" applyBorder="1" applyAlignment="1" applyProtection="1">
      <alignment horizontal="right" vertical="center" indent="1"/>
    </xf>
    <xf numFmtId="0" fontId="52" fillId="10" borderId="8" xfId="0" applyFont="1" applyFill="1" applyBorder="1" applyAlignment="1" applyProtection="1">
      <alignment horizontal="right" vertical="center" indent="1"/>
    </xf>
    <xf numFmtId="43" fontId="4" fillId="10" borderId="2" xfId="1" applyFont="1" applyFill="1" applyBorder="1" applyAlignment="1" applyProtection="1">
      <alignment vertical="center"/>
    </xf>
    <xf numFmtId="167" fontId="54" fillId="0" borderId="2" xfId="1" applyNumberFormat="1" applyFont="1" applyFill="1" applyBorder="1" applyAlignment="1" applyProtection="1">
      <alignment vertical="center"/>
      <protection locked="0"/>
    </xf>
    <xf numFmtId="0" fontId="48" fillId="11" borderId="2" xfId="0" applyFont="1" applyFill="1" applyBorder="1" applyAlignment="1" applyProtection="1">
      <alignment horizontal="right" vertical="center" indent="1"/>
    </xf>
    <xf numFmtId="167" fontId="4" fillId="11" borderId="17" xfId="1" applyNumberFormat="1" applyFont="1" applyFill="1" applyBorder="1" applyAlignment="1" applyProtection="1">
      <alignment vertical="center"/>
    </xf>
    <xf numFmtId="166" fontId="49" fillId="12" borderId="17" xfId="1" applyNumberFormat="1" applyFont="1" applyFill="1" applyBorder="1" applyAlignment="1" applyProtection="1">
      <alignment vertical="center"/>
      <protection locked="0"/>
    </xf>
    <xf numFmtId="0" fontId="48" fillId="11" borderId="17" xfId="0" applyFont="1" applyFill="1" applyBorder="1" applyAlignment="1" applyProtection="1">
      <alignment horizontal="right" vertical="center" indent="1"/>
    </xf>
    <xf numFmtId="0" fontId="52" fillId="10" borderId="2" xfId="0" applyFont="1" applyFill="1" applyBorder="1" applyAlignment="1" applyProtection="1">
      <alignment horizontal="right" vertical="center" indent="1"/>
    </xf>
    <xf numFmtId="167" fontId="4" fillId="10" borderId="17" xfId="1" applyNumberFormat="1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horizontal="right" vertical="center" indent="1"/>
    </xf>
    <xf numFmtId="167" fontId="10" fillId="0" borderId="2" xfId="1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166" fontId="10" fillId="0" borderId="0" xfId="1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 wrapText="1" indent="1"/>
    </xf>
    <xf numFmtId="167" fontId="10" fillId="10" borderId="38" xfId="1" applyNumberFormat="1" applyFont="1" applyFill="1" applyBorder="1" applyAlignment="1" applyProtection="1">
      <alignment horizontal="right" vertical="center"/>
    </xf>
    <xf numFmtId="167" fontId="10" fillId="0" borderId="38" xfId="1" applyNumberFormat="1" applyFont="1" applyFill="1" applyBorder="1" applyAlignment="1" applyProtection="1">
      <alignment horizontal="right" vertical="center"/>
    </xf>
    <xf numFmtId="0" fontId="58" fillId="0" borderId="0" xfId="0" applyFont="1" applyFill="1" applyBorder="1" applyAlignment="1" applyProtection="1">
      <alignment horizontal="left" indent="2"/>
    </xf>
    <xf numFmtId="166" fontId="59" fillId="0" borderId="0" xfId="1" applyNumberFormat="1" applyFont="1" applyBorder="1" applyAlignment="1" applyProtection="1">
      <alignment horizontal="center" vertical="top"/>
    </xf>
    <xf numFmtId="166" fontId="60" fillId="0" borderId="0" xfId="1" applyNumberFormat="1" applyFont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horizontal="left" indent="2"/>
    </xf>
    <xf numFmtId="166" fontId="0" fillId="0" borderId="0" xfId="1" applyNumberFormat="1" applyFont="1" applyBorder="1" applyAlignment="1" applyProtection="1">
      <alignment horizontal="centerContinuous" vertical="center"/>
    </xf>
    <xf numFmtId="0" fontId="61" fillId="0" borderId="0" xfId="0" applyFont="1" applyFill="1" applyBorder="1" applyAlignment="1" applyProtection="1">
      <alignment horizontal="right" vertical="center" indent="2"/>
    </xf>
    <xf numFmtId="167" fontId="62" fillId="13" borderId="21" xfId="1" applyNumberFormat="1" applyFont="1" applyFill="1" applyBorder="1" applyAlignment="1" applyProtection="1">
      <alignment vertical="center"/>
      <protection locked="0"/>
    </xf>
    <xf numFmtId="167" fontId="62" fillId="13" borderId="22" xfId="1" applyNumberFormat="1" applyFont="1" applyFill="1" applyBorder="1" applyAlignment="1" applyProtection="1">
      <alignment vertical="center"/>
      <protection locked="0"/>
    </xf>
    <xf numFmtId="167" fontId="62" fillId="13" borderId="25" xfId="1" applyNumberFormat="1" applyFont="1" applyFill="1" applyBorder="1" applyAlignment="1" applyProtection="1">
      <alignment vertical="center"/>
      <protection locked="0"/>
    </xf>
    <xf numFmtId="167" fontId="62" fillId="13" borderId="63" xfId="1" applyNumberFormat="1" applyFont="1" applyFill="1" applyBorder="1" applyAlignment="1" applyProtection="1">
      <alignment vertical="center"/>
      <protection locked="0"/>
    </xf>
    <xf numFmtId="167" fontId="62" fillId="13" borderId="64" xfId="1" applyNumberFormat="1" applyFont="1" applyFill="1" applyBorder="1" applyAlignment="1" applyProtection="1">
      <alignment vertical="center"/>
      <protection locked="0"/>
    </xf>
    <xf numFmtId="167" fontId="62" fillId="13" borderId="65" xfId="1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center" indent="2"/>
    </xf>
    <xf numFmtId="43" fontId="52" fillId="0" borderId="66" xfId="1" applyNumberFormat="1" applyFont="1" applyFill="1" applyBorder="1" applyAlignment="1" applyProtection="1">
      <alignment horizontal="right" vertical="center"/>
    </xf>
    <xf numFmtId="43" fontId="52" fillId="0" borderId="67" xfId="1" applyNumberFormat="1" applyFont="1" applyFill="1" applyBorder="1" applyAlignment="1" applyProtection="1">
      <alignment horizontal="right" vertical="center"/>
    </xf>
    <xf numFmtId="43" fontId="52" fillId="0" borderId="68" xfId="1" applyNumberFormat="1" applyFont="1" applyFill="1" applyBorder="1" applyAlignment="1" applyProtection="1">
      <alignment horizontal="right" vertical="center"/>
    </xf>
    <xf numFmtId="166" fontId="49" fillId="12" borderId="40" xfId="1" applyNumberFormat="1" applyFont="1" applyFill="1" applyBorder="1" applyAlignment="1" applyProtection="1">
      <alignment vertical="center"/>
    </xf>
    <xf numFmtId="168" fontId="4" fillId="13" borderId="32" xfId="10" applyNumberFormat="1" applyFont="1" applyFill="1" applyBorder="1" applyAlignment="1" applyProtection="1">
      <alignment vertical="center"/>
    </xf>
    <xf numFmtId="0" fontId="63" fillId="0" borderId="0" xfId="0" applyFont="1" applyBorder="1" applyAlignment="1">
      <alignment horizontal="right" vertical="center" indent="1"/>
    </xf>
    <xf numFmtId="0" fontId="64" fillId="0" borderId="46" xfId="0" applyFont="1" applyFill="1" applyBorder="1" applyAlignment="1" applyProtection="1">
      <alignment horizontal="right" vertical="center" indent="1"/>
    </xf>
    <xf numFmtId="167" fontId="64" fillId="13" borderId="38" xfId="1" applyNumberFormat="1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horizontal="right" vertical="center"/>
    </xf>
    <xf numFmtId="166" fontId="49" fillId="0" borderId="0" xfId="1" applyNumberFormat="1" applyFont="1" applyFill="1" applyBorder="1" applyAlignment="1" applyProtection="1">
      <alignment vertical="center"/>
    </xf>
    <xf numFmtId="167" fontId="10" fillId="13" borderId="38" xfId="1" applyNumberFormat="1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horizontal="right" vertical="center" indent="1"/>
    </xf>
    <xf numFmtId="167" fontId="65" fillId="0" borderId="23" xfId="1" applyNumberFormat="1" applyFont="1" applyFill="1" applyBorder="1" applyAlignment="1" applyProtection="1">
      <alignment horizontal="right" vertical="center"/>
    </xf>
    <xf numFmtId="167" fontId="65" fillId="0" borderId="2" xfId="1" applyNumberFormat="1" applyFont="1" applyFill="1" applyBorder="1" applyAlignment="1" applyProtection="1">
      <alignment horizontal="right" vertical="center"/>
    </xf>
    <xf numFmtId="0" fontId="66" fillId="0" borderId="0" xfId="0" applyFont="1" applyAlignment="1" applyProtection="1">
      <alignment vertical="center"/>
    </xf>
    <xf numFmtId="166" fontId="6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67" fillId="0" borderId="0" xfId="1" applyNumberFormat="1" applyFont="1" applyFill="1" applyAlignment="1" applyProtection="1">
      <alignment vertical="center"/>
    </xf>
    <xf numFmtId="166" fontId="0" fillId="0" borderId="0" xfId="1" applyNumberFormat="1" applyFont="1" applyFill="1" applyAlignment="1" applyProtection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Alignment="1" applyProtection="1">
      <alignment vertical="center"/>
    </xf>
    <xf numFmtId="166" fontId="0" fillId="0" borderId="0" xfId="1" applyNumberFormat="1" applyFont="1" applyAlignment="1" applyProtection="1">
      <alignment vertical="center"/>
    </xf>
    <xf numFmtId="43" fontId="8" fillId="0" borderId="12" xfId="11" applyFont="1" applyBorder="1"/>
    <xf numFmtId="43" fontId="8" fillId="0" borderId="12" xfId="11" applyFont="1" applyBorder="1" applyAlignment="1">
      <alignment wrapText="1"/>
    </xf>
    <xf numFmtId="43" fontId="8" fillId="4" borderId="2" xfId="11" applyFont="1" applyFill="1" applyBorder="1" applyAlignment="1">
      <alignment wrapText="1"/>
    </xf>
    <xf numFmtId="43" fontId="8" fillId="0" borderId="14" xfId="11" applyFont="1" applyBorder="1" applyAlignment="1">
      <alignment wrapText="1"/>
    </xf>
    <xf numFmtId="43" fontId="5" fillId="0" borderId="1" xfId="0" applyNumberFormat="1" applyFont="1" applyBorder="1" applyAlignment="1">
      <alignment horizontal="left"/>
    </xf>
    <xf numFmtId="43" fontId="3" fillId="0" borderId="0" xfId="11" applyFont="1" applyBorder="1" applyAlignment="1">
      <alignment horizontal="center"/>
    </xf>
    <xf numFmtId="43" fontId="3" fillId="0" borderId="46" xfId="0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/>
    </xf>
    <xf numFmtId="43" fontId="5" fillId="9" borderId="33" xfId="1" applyFont="1" applyFill="1" applyBorder="1"/>
    <xf numFmtId="43" fontId="5" fillId="0" borderId="12" xfId="1" applyFont="1" applyFill="1" applyBorder="1"/>
    <xf numFmtId="0" fontId="77" fillId="0" borderId="46" xfId="0" applyFont="1" applyFill="1" applyBorder="1" applyAlignment="1">
      <alignment wrapText="1"/>
    </xf>
    <xf numFmtId="43" fontId="4" fillId="9" borderId="2" xfId="1" applyFont="1" applyFill="1" applyBorder="1"/>
    <xf numFmtId="0" fontId="78" fillId="9" borderId="8" xfId="0" applyFont="1" applyFill="1" applyBorder="1" applyAlignment="1">
      <alignment wrapText="1"/>
    </xf>
    <xf numFmtId="43" fontId="31" fillId="9" borderId="38" xfId="1" applyFont="1" applyFill="1" applyBorder="1"/>
    <xf numFmtId="43" fontId="5" fillId="9" borderId="38" xfId="0" applyNumberFormat="1" applyFont="1" applyFill="1" applyBorder="1" applyAlignment="1">
      <alignment horizontal="center" vertical="center" wrapText="1"/>
    </xf>
    <xf numFmtId="164" fontId="4" fillId="9" borderId="38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center"/>
    </xf>
    <xf numFmtId="43" fontId="4" fillId="9" borderId="26" xfId="0" applyNumberFormat="1" applyFont="1" applyFill="1" applyBorder="1" applyAlignment="1">
      <alignment horizontal="center"/>
    </xf>
    <xf numFmtId="43" fontId="31" fillId="9" borderId="38" xfId="0" applyNumberFormat="1" applyFont="1" applyFill="1" applyBorder="1"/>
    <xf numFmtId="43" fontId="77" fillId="9" borderId="4" xfId="0" applyNumberFormat="1" applyFont="1" applyFill="1" applyBorder="1" applyAlignment="1">
      <alignment horizontal="left" wrapText="1"/>
    </xf>
    <xf numFmtId="0" fontId="78" fillId="9" borderId="38" xfId="0" applyFont="1" applyFill="1" applyBorder="1" applyAlignment="1">
      <alignment horizontal="right" wrapText="1"/>
    </xf>
    <xf numFmtId="0" fontId="17" fillId="0" borderId="8" xfId="0" applyFont="1" applyBorder="1" applyAlignment="1">
      <alignment wrapText="1"/>
    </xf>
    <xf numFmtId="43" fontId="33" fillId="5" borderId="2" xfId="1" applyFont="1" applyFill="1" applyBorder="1"/>
    <xf numFmtId="43" fontId="4" fillId="5" borderId="2" xfId="1" applyFont="1" applyFill="1" applyBorder="1"/>
    <xf numFmtId="43" fontId="4" fillId="5" borderId="17" xfId="1" applyFont="1" applyFill="1" applyBorder="1"/>
    <xf numFmtId="0" fontId="19" fillId="0" borderId="33" xfId="0" applyFont="1" applyBorder="1" applyAlignment="1">
      <alignment wrapText="1"/>
    </xf>
    <xf numFmtId="43" fontId="0" fillId="0" borderId="69" xfId="0" applyNumberFormat="1" applyBorder="1" applyAlignment="1">
      <alignment horizontal="center" vertical="center"/>
    </xf>
    <xf numFmtId="43" fontId="0" fillId="0" borderId="23" xfId="0" applyNumberFormat="1" applyBorder="1" applyAlignment="1">
      <alignment horizontal="center" vertical="center"/>
    </xf>
    <xf numFmtId="0" fontId="0" fillId="0" borderId="9" xfId="0" applyBorder="1"/>
    <xf numFmtId="0" fontId="23" fillId="0" borderId="8" xfId="0" applyFont="1" applyBorder="1"/>
    <xf numFmtId="0" fontId="39" fillId="0" borderId="0" xfId="0" applyFont="1" applyFill="1" applyBorder="1"/>
    <xf numFmtId="43" fontId="39" fillId="0" borderId="0" xfId="0" applyNumberFormat="1" applyFont="1" applyFill="1" applyBorder="1"/>
    <xf numFmtId="0" fontId="23" fillId="0" borderId="0" xfId="0" applyFont="1" applyFill="1" applyBorder="1" applyAlignment="1">
      <alignment horizontal="center" vertical="center"/>
    </xf>
    <xf numFmtId="43" fontId="3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3" fontId="39" fillId="5" borderId="38" xfId="0" applyNumberFormat="1" applyFont="1" applyFill="1" applyBorder="1"/>
    <xf numFmtId="43" fontId="7" fillId="0" borderId="0" xfId="13" applyFont="1"/>
    <xf numFmtId="0" fontId="79" fillId="0" borderId="0" xfId="12"/>
    <xf numFmtId="43" fontId="0" fillId="0" borderId="0" xfId="13" applyFont="1"/>
    <xf numFmtId="43" fontId="3" fillId="0" borderId="0" xfId="13" applyFont="1" applyAlignment="1"/>
    <xf numFmtId="0" fontId="7" fillId="0" borderId="0" xfId="12" applyFont="1"/>
    <xf numFmtId="41" fontId="7" fillId="0" borderId="0" xfId="14" applyFont="1"/>
    <xf numFmtId="43" fontId="79" fillId="0" borderId="0" xfId="12" applyNumberFormat="1"/>
    <xf numFmtId="41" fontId="7" fillId="0" borderId="0" xfId="12" applyNumberFormat="1" applyFont="1"/>
    <xf numFmtId="10" fontId="79" fillId="0" borderId="0" xfId="12" applyNumberFormat="1"/>
    <xf numFmtId="43" fontId="79" fillId="0" borderId="15" xfId="12" applyNumberFormat="1" applyBorder="1"/>
    <xf numFmtId="0" fontId="79" fillId="0" borderId="0" xfId="12" quotePrefix="1"/>
    <xf numFmtId="0" fontId="4" fillId="0" borderId="0" xfId="12" applyFont="1" applyAlignment="1"/>
    <xf numFmtId="43" fontId="79" fillId="0" borderId="0" xfId="13"/>
    <xf numFmtId="43" fontId="79" fillId="0" borderId="0" xfId="13" applyFont="1"/>
    <xf numFmtId="4" fontId="79" fillId="0" borderId="0" xfId="12" applyNumberFormat="1"/>
    <xf numFmtId="14" fontId="79" fillId="0" borderId="0" xfId="12" applyNumberFormat="1"/>
    <xf numFmtId="17" fontId="79" fillId="0" borderId="0" xfId="12" applyNumberFormat="1"/>
    <xf numFmtId="0" fontId="79" fillId="0" borderId="2" xfId="12" applyBorder="1"/>
    <xf numFmtId="43" fontId="79" fillId="0" borderId="2" xfId="13" applyBorder="1"/>
    <xf numFmtId="43" fontId="79" fillId="0" borderId="2" xfId="13" applyFont="1" applyBorder="1"/>
    <xf numFmtId="0" fontId="79" fillId="0" borderId="18" xfId="12" applyFill="1" applyBorder="1"/>
    <xf numFmtId="0" fontId="79" fillId="0" borderId="0" xfId="12" applyFill="1" applyBorder="1"/>
    <xf numFmtId="167" fontId="79" fillId="0" borderId="0" xfId="12" applyNumberFormat="1"/>
    <xf numFmtId="167" fontId="79" fillId="0" borderId="0" xfId="13" applyNumberFormat="1"/>
    <xf numFmtId="167" fontId="79" fillId="0" borderId="0" xfId="13" applyNumberFormat="1" applyFont="1"/>
    <xf numFmtId="0" fontId="79" fillId="0" borderId="0" xfId="12" applyBorder="1"/>
    <xf numFmtId="0" fontId="40" fillId="0" borderId="0" xfId="12" applyFont="1" applyAlignment="1">
      <alignment horizontal="center"/>
    </xf>
    <xf numFmtId="43" fontId="40" fillId="0" borderId="0" xfId="13" applyFont="1" applyAlignment="1">
      <alignment horizontal="center"/>
    </xf>
    <xf numFmtId="0" fontId="3" fillId="0" borderId="0" xfId="12" applyFont="1" applyAlignment="1"/>
    <xf numFmtId="164" fontId="79" fillId="0" borderId="0" xfId="12" applyNumberFormat="1"/>
    <xf numFmtId="0" fontId="41" fillId="0" borderId="0" xfId="12" applyFont="1" applyBorder="1" applyAlignment="1"/>
    <xf numFmtId="0" fontId="7" fillId="0" borderId="38" xfId="12" applyFont="1" applyBorder="1"/>
    <xf numFmtId="0" fontId="7" fillId="0" borderId="38" xfId="12" applyFont="1" applyBorder="1" applyAlignment="1">
      <alignment wrapText="1"/>
    </xf>
    <xf numFmtId="164" fontId="7" fillId="0" borderId="0" xfId="14" applyNumberFormat="1" applyFont="1" applyBorder="1"/>
    <xf numFmtId="0" fontId="7" fillId="0" borderId="19" xfId="12" applyFont="1" applyBorder="1"/>
    <xf numFmtId="43" fontId="7" fillId="0" borderId="19" xfId="12" applyNumberFormat="1" applyFont="1" applyBorder="1"/>
    <xf numFmtId="43" fontId="7" fillId="0" borderId="2" xfId="13" applyFont="1" applyBorder="1"/>
    <xf numFmtId="0" fontId="7" fillId="0" borderId="2" xfId="12" applyFont="1" applyBorder="1"/>
    <xf numFmtId="164" fontId="7" fillId="0" borderId="2" xfId="14" applyNumberFormat="1" applyFont="1" applyBorder="1"/>
    <xf numFmtId="0" fontId="79" fillId="0" borderId="0" xfId="12" applyAlignment="1">
      <alignment horizontal="center"/>
    </xf>
    <xf numFmtId="164" fontId="7" fillId="0" borderId="2" xfId="12" applyNumberFormat="1" applyFont="1" applyBorder="1"/>
    <xf numFmtId="0" fontId="7" fillId="0" borderId="17" xfId="12" applyFont="1" applyBorder="1"/>
    <xf numFmtId="164" fontId="7" fillId="0" borderId="17" xfId="14" applyNumberFormat="1" applyFont="1" applyBorder="1"/>
    <xf numFmtId="43" fontId="7" fillId="0" borderId="17" xfId="13" applyFont="1" applyBorder="1"/>
    <xf numFmtId="0" fontId="3" fillId="0" borderId="3" xfId="12" applyFont="1" applyBorder="1"/>
    <xf numFmtId="164" fontId="3" fillId="0" borderId="55" xfId="14" applyNumberFormat="1" applyFont="1" applyBorder="1"/>
    <xf numFmtId="43" fontId="3" fillId="0" borderId="54" xfId="13" applyFont="1" applyBorder="1"/>
    <xf numFmtId="0" fontId="3" fillId="0" borderId="0" xfId="12" applyFont="1" applyBorder="1"/>
    <xf numFmtId="164" fontId="3" fillId="0" borderId="18" xfId="14" applyNumberFormat="1" applyFont="1" applyBorder="1"/>
    <xf numFmtId="43" fontId="3" fillId="0" borderId="12" xfId="13" applyFont="1" applyBorder="1"/>
    <xf numFmtId="164" fontId="7" fillId="0" borderId="19" xfId="14" applyNumberFormat="1" applyFont="1" applyBorder="1"/>
    <xf numFmtId="43" fontId="7" fillId="0" borderId="19" xfId="13" applyFont="1" applyBorder="1"/>
    <xf numFmtId="164" fontId="7" fillId="0" borderId="0" xfId="14" applyNumberFormat="1" applyFont="1" applyFill="1" applyBorder="1"/>
    <xf numFmtId="164" fontId="3" fillId="0" borderId="4" xfId="14" applyNumberFormat="1" applyFont="1" applyBorder="1"/>
    <xf numFmtId="43" fontId="3" fillId="0" borderId="5" xfId="13" applyFont="1" applyBorder="1"/>
    <xf numFmtId="0" fontId="7" fillId="0" borderId="0" xfId="12" applyFont="1" applyBorder="1"/>
    <xf numFmtId="164" fontId="3" fillId="0" borderId="0" xfId="14" applyNumberFormat="1" applyFont="1" applyBorder="1"/>
    <xf numFmtId="43" fontId="3" fillId="0" borderId="0" xfId="13" applyFont="1" applyBorder="1"/>
    <xf numFmtId="43" fontId="3" fillId="0" borderId="0" xfId="13" applyFont="1" applyBorder="1" applyAlignment="1">
      <alignment horizontal="right"/>
    </xf>
    <xf numFmtId="43" fontId="3" fillId="0" borderId="0" xfId="13" applyFont="1" applyAlignment="1">
      <alignment horizontal="right"/>
    </xf>
    <xf numFmtId="43" fontId="3" fillId="0" borderId="0" xfId="13" applyFont="1"/>
    <xf numFmtId="43" fontId="3" fillId="0" borderId="0" xfId="13" applyFont="1" applyFill="1" applyBorder="1" applyAlignment="1">
      <alignment horizontal="right"/>
    </xf>
    <xf numFmtId="0" fontId="79" fillId="0" borderId="0" xfId="12" applyAlignment="1">
      <alignment horizontal="right"/>
    </xf>
    <xf numFmtId="43" fontId="11" fillId="5" borderId="0" xfId="13" applyFont="1" applyFill="1"/>
    <xf numFmtId="0" fontId="8" fillId="0" borderId="0" xfId="12" applyFont="1"/>
    <xf numFmtId="43" fontId="82" fillId="5" borderId="0" xfId="12" applyNumberFormat="1" applyFont="1" applyFill="1"/>
    <xf numFmtId="43" fontId="11" fillId="5" borderId="0" xfId="12" applyNumberFormat="1" applyFont="1" applyFill="1"/>
    <xf numFmtId="43" fontId="7" fillId="0" borderId="0" xfId="1" applyFont="1"/>
    <xf numFmtId="43" fontId="4" fillId="0" borderId="0" xfId="13" applyFont="1"/>
    <xf numFmtId="10" fontId="4" fillId="0" borderId="0" xfId="12" applyNumberFormat="1" applyFont="1"/>
    <xf numFmtId="0" fontId="13" fillId="0" borderId="0" xfId="0" applyFont="1"/>
    <xf numFmtId="43" fontId="41" fillId="0" borderId="25" xfId="0" applyNumberFormat="1" applyFont="1" applyBorder="1" applyAlignment="1">
      <alignment horizontal="center"/>
    </xf>
    <xf numFmtId="43" fontId="6" fillId="0" borderId="62" xfId="0" applyNumberFormat="1" applyFont="1" applyBorder="1" applyAlignment="1">
      <alignment horizontal="center"/>
    </xf>
    <xf numFmtId="0" fontId="23" fillId="0" borderId="0" xfId="0" applyFont="1" applyFill="1" applyBorder="1"/>
    <xf numFmtId="4" fontId="38" fillId="0" borderId="0" xfId="0" applyNumberFormat="1" applyFont="1" applyBorder="1" applyAlignment="1">
      <alignment horizontal="center"/>
    </xf>
    <xf numFmtId="4" fontId="83" fillId="0" borderId="0" xfId="0" applyNumberFormat="1" applyFont="1"/>
    <xf numFmtId="164" fontId="27" fillId="0" borderId="0" xfId="0" applyNumberFormat="1" applyFont="1" applyBorder="1"/>
    <xf numFmtId="0" fontId="4" fillId="0" borderId="0" xfId="0" applyFont="1" applyAlignment="1">
      <alignment horizontal="center"/>
    </xf>
    <xf numFmtId="0" fontId="7" fillId="0" borderId="8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40" fillId="0" borderId="0" xfId="0" applyFont="1" applyAlignment="1">
      <alignment horizontal="center"/>
    </xf>
    <xf numFmtId="0" fontId="0" fillId="0" borderId="51" xfId="0" applyFill="1" applyBorder="1"/>
    <xf numFmtId="43" fontId="75" fillId="0" borderId="29" xfId="0" applyNumberFormat="1" applyFont="1" applyBorder="1"/>
    <xf numFmtId="43" fontId="75" fillId="0" borderId="20" xfId="0" applyNumberFormat="1" applyFont="1" applyBorder="1"/>
    <xf numFmtId="0" fontId="75" fillId="0" borderId="2" xfId="0" applyFont="1" applyBorder="1"/>
    <xf numFmtId="164" fontId="75" fillId="0" borderId="44" xfId="0" applyNumberFormat="1" applyFont="1" applyBorder="1"/>
    <xf numFmtId="43" fontId="75" fillId="7" borderId="2" xfId="0" applyNumberFormat="1" applyFont="1" applyFill="1" applyBorder="1"/>
    <xf numFmtId="0" fontId="15" fillId="0" borderId="2" xfId="0" applyFont="1" applyBorder="1"/>
    <xf numFmtId="43" fontId="8" fillId="0" borderId="62" xfId="4" applyFont="1" applyFill="1" applyBorder="1"/>
    <xf numFmtId="43" fontId="8" fillId="0" borderId="22" xfId="4" applyFont="1" applyFill="1" applyBorder="1"/>
    <xf numFmtId="43" fontId="8" fillId="0" borderId="9" xfId="4" applyFont="1" applyFill="1" applyBorder="1"/>
    <xf numFmtId="43" fontId="8" fillId="0" borderId="2" xfId="4" applyFont="1" applyFill="1" applyBorder="1"/>
    <xf numFmtId="43" fontId="6" fillId="0" borderId="62" xfId="4" applyFont="1" applyFill="1" applyBorder="1"/>
    <xf numFmtId="43" fontId="5" fillId="0" borderId="50" xfId="0" applyNumberFormat="1" applyFont="1" applyFill="1" applyBorder="1"/>
    <xf numFmtId="0" fontId="13" fillId="0" borderId="0" xfId="0" applyFont="1" applyFill="1" applyBorder="1"/>
    <xf numFmtId="43" fontId="13" fillId="0" borderId="0" xfId="0" applyNumberFormat="1" applyFont="1" applyFill="1" applyBorder="1"/>
    <xf numFmtId="43" fontId="5" fillId="0" borderId="32" xfId="0" applyNumberFormat="1" applyFont="1" applyFill="1" applyBorder="1"/>
    <xf numFmtId="0" fontId="7" fillId="0" borderId="60" xfId="0" applyFont="1" applyFill="1" applyBorder="1" applyAlignment="1">
      <alignment wrapText="1"/>
    </xf>
    <xf numFmtId="0" fontId="7" fillId="0" borderId="39" xfId="0" applyFont="1" applyFill="1" applyBorder="1" applyAlignment="1">
      <alignment horizontal="center" wrapText="1"/>
    </xf>
    <xf numFmtId="0" fontId="7" fillId="0" borderId="58" xfId="0" applyFont="1" applyFill="1" applyBorder="1" applyAlignment="1">
      <alignment wrapText="1"/>
    </xf>
    <xf numFmtId="4" fontId="0" fillId="0" borderId="39" xfId="0" applyNumberFormat="1" applyBorder="1"/>
    <xf numFmtId="43" fontId="0" fillId="0" borderId="8" xfId="4" applyFont="1" applyBorder="1"/>
    <xf numFmtId="43" fontId="13" fillId="8" borderId="29" xfId="4" applyFont="1" applyFill="1" applyBorder="1"/>
    <xf numFmtId="43" fontId="13" fillId="0" borderId="58" xfId="0" applyNumberFormat="1" applyFont="1" applyBorder="1"/>
    <xf numFmtId="0" fontId="7" fillId="0" borderId="58" xfId="0" applyFont="1" applyFill="1" applyBorder="1" applyAlignment="1">
      <alignment horizontal="center" wrapText="1"/>
    </xf>
    <xf numFmtId="43" fontId="0" fillId="0" borderId="39" xfId="4" applyFont="1" applyBorder="1"/>
    <xf numFmtId="43" fontId="0" fillId="0" borderId="40" xfId="4" applyFont="1" applyBorder="1"/>
    <xf numFmtId="43" fontId="0" fillId="0" borderId="32" xfId="4" applyFont="1" applyBorder="1"/>
    <xf numFmtId="0" fontId="0" fillId="0" borderId="32" xfId="0" applyBorder="1"/>
    <xf numFmtId="43" fontId="0" fillId="0" borderId="41" xfId="4" applyFont="1" applyBorder="1"/>
    <xf numFmtId="0" fontId="13" fillId="8" borderId="51" xfId="0" applyFont="1" applyFill="1" applyBorder="1"/>
    <xf numFmtId="43" fontId="13" fillId="0" borderId="52" xfId="0" applyNumberFormat="1" applyFont="1" applyBorder="1"/>
    <xf numFmtId="0" fontId="7" fillId="0" borderId="52" xfId="0" applyFont="1" applyFill="1" applyBorder="1" applyAlignment="1">
      <alignment horizontal="center" wrapText="1"/>
    </xf>
    <xf numFmtId="43" fontId="84" fillId="0" borderId="0" xfId="0" applyNumberFormat="1" applyFont="1" applyBorder="1" applyAlignment="1">
      <alignment horizontal="center"/>
    </xf>
    <xf numFmtId="43" fontId="11" fillId="0" borderId="0" xfId="1" applyFont="1" applyFill="1" applyBorder="1"/>
    <xf numFmtId="4" fontId="85" fillId="0" borderId="0" xfId="0" applyNumberFormat="1" applyFont="1"/>
    <xf numFmtId="0" fontId="0" fillId="0" borderId="0" xfId="0" applyBorder="1" applyAlignment="1">
      <alignment horizontal="right"/>
    </xf>
    <xf numFmtId="43" fontId="79" fillId="0" borderId="0" xfId="1" applyFont="1"/>
    <xf numFmtId="0" fontId="2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7" fillId="0" borderId="15" xfId="0" applyFont="1" applyBorder="1" applyAlignment="1">
      <alignment wrapText="1"/>
    </xf>
    <xf numFmtId="43" fontId="4" fillId="0" borderId="26" xfId="0" applyNumberFormat="1" applyFont="1" applyFill="1" applyBorder="1" applyAlignment="1">
      <alignment horizontal="center"/>
    </xf>
    <xf numFmtId="164" fontId="8" fillId="0" borderId="0" xfId="2" applyNumberFormat="1" applyFont="1" applyBorder="1"/>
    <xf numFmtId="43" fontId="5" fillId="0" borderId="0" xfId="0" applyNumberFormat="1" applyFont="1" applyBorder="1" applyAlignment="1">
      <alignment horizontal="center"/>
    </xf>
    <xf numFmtId="43" fontId="5" fillId="3" borderId="0" xfId="0" applyNumberFormat="1" applyFont="1" applyFill="1" applyBorder="1" applyAlignment="1">
      <alignment horizontal="center" vertical="top" wrapText="1"/>
    </xf>
    <xf numFmtId="43" fontId="14" fillId="3" borderId="0" xfId="0" applyNumberFormat="1" applyFont="1" applyFill="1" applyBorder="1" applyAlignment="1">
      <alignment horizontal="center" vertical="top" wrapText="1"/>
    </xf>
    <xf numFmtId="0" fontId="87" fillId="0" borderId="7" xfId="0" applyFont="1" applyBorder="1" applyAlignment="1">
      <alignment horizontal="center" wrapText="1"/>
    </xf>
    <xf numFmtId="43" fontId="87" fillId="3" borderId="0" xfId="0" applyNumberFormat="1" applyFont="1" applyFill="1" applyBorder="1" applyAlignment="1">
      <alignment horizontal="center" vertical="top" wrapText="1"/>
    </xf>
    <xf numFmtId="43" fontId="87" fillId="3" borderId="11" xfId="0" applyNumberFormat="1" applyFont="1" applyFill="1" applyBorder="1" applyAlignment="1">
      <alignment horizontal="center" vertical="top" wrapText="1"/>
    </xf>
    <xf numFmtId="43" fontId="87" fillId="3" borderId="13" xfId="0" applyNumberFormat="1" applyFont="1" applyFill="1" applyBorder="1" applyAlignment="1">
      <alignment horizontal="center" vertical="top" wrapText="1"/>
    </xf>
    <xf numFmtId="43" fontId="87" fillId="3" borderId="16" xfId="0" applyNumberFormat="1" applyFont="1" applyFill="1" applyBorder="1" applyAlignment="1">
      <alignment horizontal="center" vertical="top" wrapText="1"/>
    </xf>
    <xf numFmtId="43" fontId="87" fillId="0" borderId="0" xfId="0" applyNumberFormat="1" applyFont="1" applyFill="1" applyBorder="1" applyAlignment="1">
      <alignment horizontal="center" vertical="top" wrapText="1"/>
    </xf>
    <xf numFmtId="43" fontId="88" fillId="3" borderId="16" xfId="0" applyNumberFormat="1" applyFont="1" applyFill="1" applyBorder="1" applyAlignment="1">
      <alignment horizontal="center" vertical="top" wrapText="1"/>
    </xf>
    <xf numFmtId="43" fontId="87" fillId="3" borderId="2" xfId="0" applyNumberFormat="1" applyFont="1" applyFill="1" applyBorder="1" applyAlignment="1">
      <alignment horizontal="center" vertical="top" wrapText="1"/>
    </xf>
    <xf numFmtId="0" fontId="17" fillId="0" borderId="0" xfId="0" applyFont="1"/>
    <xf numFmtId="0" fontId="87" fillId="0" borderId="26" xfId="0" applyFont="1" applyBorder="1" applyAlignment="1">
      <alignment horizontal="center"/>
    </xf>
    <xf numFmtId="0" fontId="17" fillId="0" borderId="26" xfId="0" applyFont="1" applyBorder="1"/>
    <xf numFmtId="164" fontId="87" fillId="0" borderId="37" xfId="0" applyNumberFormat="1" applyFont="1" applyBorder="1" applyAlignment="1">
      <alignment horizontal="center"/>
    </xf>
    <xf numFmtId="164" fontId="87" fillId="9" borderId="38" xfId="0" applyNumberFormat="1" applyFont="1" applyFill="1" applyBorder="1" applyAlignment="1">
      <alignment horizontal="center"/>
    </xf>
    <xf numFmtId="43" fontId="87" fillId="0" borderId="25" xfId="0" applyNumberFormat="1" applyFont="1" applyBorder="1" applyAlignment="1">
      <alignment horizontal="center"/>
    </xf>
    <xf numFmtId="43" fontId="87" fillId="9" borderId="26" xfId="0" applyNumberFormat="1" applyFont="1" applyFill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89" fillId="0" borderId="0" xfId="0" applyFont="1"/>
    <xf numFmtId="4" fontId="90" fillId="0" borderId="0" xfId="0" applyNumberFormat="1" applyFont="1"/>
    <xf numFmtId="4" fontId="91" fillId="0" borderId="0" xfId="0" applyNumberFormat="1" applyFont="1" applyBorder="1"/>
    <xf numFmtId="0" fontId="91" fillId="0" borderId="0" xfId="0" applyFont="1"/>
    <xf numFmtId="43" fontId="13" fillId="9" borderId="0" xfId="0" applyNumberFormat="1" applyFont="1" applyFill="1" applyBorder="1" applyAlignment="1">
      <alignment wrapText="1"/>
    </xf>
    <xf numFmtId="164" fontId="86" fillId="0" borderId="2" xfId="2" applyNumberFormat="1" applyFont="1" applyBorder="1"/>
    <xf numFmtId="164" fontId="86" fillId="0" borderId="2" xfId="2" applyNumberFormat="1" applyFont="1" applyFill="1" applyBorder="1"/>
    <xf numFmtId="4" fontId="92" fillId="0" borderId="17" xfId="0" applyNumberFormat="1" applyFont="1" applyBorder="1"/>
    <xf numFmtId="0" fontId="5" fillId="0" borderId="7" xfId="0" applyFont="1" applyBorder="1" applyAlignment="1">
      <alignment horizontal="center" wrapText="1"/>
    </xf>
    <xf numFmtId="43" fontId="5" fillId="3" borderId="2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43" fontId="14" fillId="0" borderId="0" xfId="0" applyNumberFormat="1" applyFont="1" applyBorder="1" applyAlignment="1">
      <alignment horizontal="center"/>
    </xf>
    <xf numFmtId="0" fontId="77" fillId="0" borderId="0" xfId="0" applyFont="1"/>
    <xf numFmtId="4" fontId="93" fillId="0" borderId="0" xfId="0" applyNumberFormat="1" applyFont="1"/>
    <xf numFmtId="4" fontId="94" fillId="0" borderId="0" xfId="0" applyNumberFormat="1" applyFont="1" applyBorder="1"/>
    <xf numFmtId="0" fontId="94" fillId="0" borderId="0" xfId="0" applyFont="1"/>
    <xf numFmtId="43" fontId="86" fillId="0" borderId="62" xfId="0" applyNumberFormat="1" applyFont="1" applyBorder="1" applyAlignment="1">
      <alignment horizontal="left" wrapText="1"/>
    </xf>
    <xf numFmtId="0" fontId="22" fillId="0" borderId="33" xfId="0" applyFont="1" applyBorder="1" applyAlignment="1">
      <alignment vertical="top" wrapText="1"/>
    </xf>
    <xf numFmtId="43" fontId="13" fillId="3" borderId="20" xfId="0" applyNumberFormat="1" applyFont="1" applyFill="1" applyBorder="1"/>
    <xf numFmtId="0" fontId="17" fillId="0" borderId="2" xfId="0" applyFont="1" applyBorder="1"/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4" fillId="0" borderId="0" xfId="0" applyFont="1" applyAlignment="1">
      <alignment horizontal="center"/>
    </xf>
    <xf numFmtId="43" fontId="86" fillId="0" borderId="26" xfId="0" quotePrefix="1" applyNumberFormat="1" applyFont="1" applyBorder="1" applyAlignment="1">
      <alignment horizontal="right" wrapText="1"/>
    </xf>
    <xf numFmtId="43" fontId="87" fillId="9" borderId="46" xfId="0" applyNumberFormat="1" applyFont="1" applyFill="1" applyBorder="1" applyAlignment="1">
      <alignment horizontal="center" vertical="center" wrapText="1"/>
    </xf>
    <xf numFmtId="43" fontId="5" fillId="9" borderId="45" xfId="0" applyNumberFormat="1" applyFont="1" applyFill="1" applyBorder="1" applyAlignment="1">
      <alignment horizontal="center" vertical="center" wrapText="1"/>
    </xf>
    <xf numFmtId="43" fontId="87" fillId="0" borderId="38" xfId="0" applyNumberFormat="1" applyFont="1" applyFill="1" applyBorder="1" applyAlignment="1">
      <alignment horizontal="center" vertical="center" wrapText="1"/>
    </xf>
    <xf numFmtId="43" fontId="10" fillId="0" borderId="38" xfId="0" applyNumberFormat="1" applyFont="1" applyFill="1" applyBorder="1" applyAlignment="1">
      <alignment horizontal="center" vertical="center" wrapText="1"/>
    </xf>
    <xf numFmtId="164" fontId="5" fillId="9" borderId="38" xfId="0" applyNumberFormat="1" applyFont="1" applyFill="1" applyBorder="1" applyAlignment="1">
      <alignment horizontal="center"/>
    </xf>
    <xf numFmtId="164" fontId="86" fillId="0" borderId="38" xfId="2" applyNumberFormat="1" applyFont="1" applyBorder="1"/>
    <xf numFmtId="43" fontId="5" fillId="0" borderId="38" xfId="0" applyNumberFormat="1" applyFont="1" applyBorder="1" applyAlignment="1">
      <alignment horizontal="center"/>
    </xf>
    <xf numFmtId="43" fontId="4" fillId="0" borderId="8" xfId="0" applyNumberFormat="1" applyFont="1" applyBorder="1" applyAlignment="1">
      <alignment horizontal="center"/>
    </xf>
    <xf numFmtId="43" fontId="4" fillId="5" borderId="38" xfId="0" applyNumberFormat="1" applyFont="1" applyFill="1" applyBorder="1" applyAlignment="1">
      <alignment horizontal="center"/>
    </xf>
    <xf numFmtId="43" fontId="4" fillId="0" borderId="48" xfId="0" applyNumberFormat="1" applyFont="1" applyBorder="1" applyAlignment="1">
      <alignment horizontal="center"/>
    </xf>
    <xf numFmtId="43" fontId="4" fillId="5" borderId="48" xfId="0" applyNumberFormat="1" applyFont="1" applyFill="1" applyBorder="1" applyAlignment="1">
      <alignment horizontal="center"/>
    </xf>
    <xf numFmtId="43" fontId="10" fillId="5" borderId="38" xfId="0" applyNumberFormat="1" applyFont="1" applyFill="1" applyBorder="1" applyAlignment="1">
      <alignment horizontal="center" vertical="center" wrapText="1"/>
    </xf>
    <xf numFmtId="0" fontId="100" fillId="0" borderId="0" xfId="0" applyFont="1" applyBorder="1" applyAlignment="1">
      <alignment horizontal="center"/>
    </xf>
    <xf numFmtId="0" fontId="100" fillId="0" borderId="42" xfId="0" applyFont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43" fontId="20" fillId="0" borderId="74" xfId="1" applyFont="1" applyBorder="1"/>
    <xf numFmtId="0" fontId="21" fillId="0" borderId="33" xfId="0" applyFont="1" applyBorder="1" applyAlignment="1">
      <alignment wrapText="1"/>
    </xf>
    <xf numFmtId="0" fontId="100" fillId="0" borderId="1" xfId="0" applyFont="1" applyBorder="1" applyAlignment="1">
      <alignment horizontal="center" wrapText="1"/>
    </xf>
    <xf numFmtId="164" fontId="87" fillId="0" borderId="6" xfId="0" applyNumberFormat="1" applyFont="1" applyBorder="1" applyAlignment="1">
      <alignment horizontal="center"/>
    </xf>
    <xf numFmtId="43" fontId="5" fillId="5" borderId="42" xfId="0" applyNumberFormat="1" applyFont="1" applyFill="1" applyBorder="1" applyAlignment="1">
      <alignment horizontal="center"/>
    </xf>
    <xf numFmtId="43" fontId="7" fillId="5" borderId="45" xfId="0" applyNumberFormat="1" applyFont="1" applyFill="1" applyBorder="1" applyAlignment="1">
      <alignment vertical="top" wrapText="1"/>
    </xf>
    <xf numFmtId="43" fontId="96" fillId="0" borderId="0" xfId="1" applyFont="1" applyFill="1" applyBorder="1"/>
    <xf numFmtId="0" fontId="22" fillId="0" borderId="41" xfId="0" applyFont="1" applyBorder="1" applyAlignment="1">
      <alignment vertical="center" wrapText="1"/>
    </xf>
    <xf numFmtId="0" fontId="22" fillId="0" borderId="0" xfId="0" applyFont="1" applyBorder="1"/>
    <xf numFmtId="0" fontId="23" fillId="0" borderId="0" xfId="0" applyFont="1" applyBorder="1"/>
    <xf numFmtId="43" fontId="5" fillId="0" borderId="0" xfId="0" applyNumberFormat="1" applyFont="1" applyBorder="1" applyAlignment="1">
      <alignment horizontal="left"/>
    </xf>
    <xf numFmtId="43" fontId="3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left" vertical="center" wrapText="1"/>
    </xf>
    <xf numFmtId="43" fontId="0" fillId="0" borderId="0" xfId="0" applyNumberFormat="1" applyBorder="1" applyAlignment="1">
      <alignment horizontal="center" vertical="center"/>
    </xf>
    <xf numFmtId="43" fontId="3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3" fillId="0" borderId="0" xfId="0" applyFont="1" applyBorder="1" applyAlignment="1">
      <alignment horizontal="left" wrapText="1"/>
    </xf>
    <xf numFmtId="43" fontId="7" fillId="5" borderId="2" xfId="1" applyFont="1" applyFill="1" applyBorder="1"/>
    <xf numFmtId="0" fontId="16" fillId="5" borderId="2" xfId="0" applyFont="1" applyFill="1" applyBorder="1" applyAlignment="1">
      <alignment vertical="top" wrapText="1"/>
    </xf>
    <xf numFmtId="0" fontId="17" fillId="0" borderId="6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77" fillId="0" borderId="1" xfId="0" applyFont="1" applyFill="1" applyBorder="1" applyAlignment="1">
      <alignment wrapText="1"/>
    </xf>
    <xf numFmtId="2" fontId="0" fillId="0" borderId="1" xfId="0" applyNumberFormat="1" applyBorder="1"/>
    <xf numFmtId="43" fontId="0" fillId="0" borderId="1" xfId="0" applyNumberFormat="1" applyBorder="1"/>
    <xf numFmtId="0" fontId="0" fillId="0" borderId="30" xfId="0" applyBorder="1"/>
    <xf numFmtId="0" fontId="16" fillId="0" borderId="46" xfId="0" applyFont="1" applyBorder="1"/>
    <xf numFmtId="43" fontId="0" fillId="0" borderId="42" xfId="1" applyFont="1" applyBorder="1"/>
    <xf numFmtId="43" fontId="0" fillId="0" borderId="38" xfId="1" applyFont="1" applyBorder="1"/>
    <xf numFmtId="43" fontId="0" fillId="0" borderId="38" xfId="0" applyNumberFormat="1" applyBorder="1"/>
    <xf numFmtId="43" fontId="0" fillId="0" borderId="42" xfId="0" applyNumberFormat="1" applyBorder="1"/>
    <xf numFmtId="43" fontId="13" fillId="0" borderId="42" xfId="0" applyNumberFormat="1" applyFont="1" applyFill="1" applyBorder="1" applyAlignment="1">
      <alignment horizontal="left"/>
    </xf>
    <xf numFmtId="0" fontId="86" fillId="3" borderId="73" xfId="0" applyFont="1" applyFill="1" applyBorder="1" applyAlignment="1">
      <alignment wrapText="1"/>
    </xf>
    <xf numFmtId="0" fontId="8" fillId="3" borderId="38" xfId="0" applyFont="1" applyFill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5" borderId="38" xfId="0" applyFont="1" applyFill="1" applyBorder="1" applyAlignment="1">
      <alignment horizontal="left"/>
    </xf>
    <xf numFmtId="0" fontId="7" fillId="0" borderId="29" xfId="0" applyFont="1" applyBorder="1" applyAlignment="1">
      <alignment wrapText="1"/>
    </xf>
    <xf numFmtId="0" fontId="7" fillId="0" borderId="0" xfId="0" applyFont="1" applyBorder="1" applyAlignment="1">
      <alignment wrapText="1"/>
    </xf>
    <xf numFmtId="43" fontId="12" fillId="5" borderId="0" xfId="0" applyNumberFormat="1" applyFont="1" applyFill="1" applyBorder="1" applyAlignment="1">
      <alignment wrapText="1"/>
    </xf>
    <xf numFmtId="43" fontId="10" fillId="0" borderId="5" xfId="1" applyFont="1" applyBorder="1" applyAlignment="1">
      <alignment horizontal="left" wrapText="1"/>
    </xf>
    <xf numFmtId="0" fontId="101" fillId="0" borderId="18" xfId="0" applyFont="1" applyBorder="1" applyAlignment="1">
      <alignment horizontal="left" vertical="center" wrapText="1"/>
    </xf>
    <xf numFmtId="0" fontId="84" fillId="0" borderId="18" xfId="0" applyFont="1" applyBorder="1" applyAlignment="1">
      <alignment horizontal="left" vertical="center" wrapText="1"/>
    </xf>
    <xf numFmtId="0" fontId="84" fillId="0" borderId="57" xfId="0" applyFont="1" applyBorder="1" applyAlignment="1">
      <alignment horizontal="left" vertical="center" wrapText="1"/>
    </xf>
    <xf numFmtId="0" fontId="11" fillId="0" borderId="0" xfId="0" applyFont="1" applyFill="1" applyBorder="1"/>
    <xf numFmtId="0" fontId="9" fillId="0" borderId="0" xfId="0" applyFont="1"/>
    <xf numFmtId="43" fontId="44" fillId="0" borderId="9" xfId="4" applyFont="1" applyBorder="1"/>
    <xf numFmtId="164" fontId="44" fillId="0" borderId="2" xfId="5" applyNumberFormat="1" applyFont="1" applyBorder="1"/>
    <xf numFmtId="164" fontId="44" fillId="0" borderId="17" xfId="5" applyNumberFormat="1" applyFont="1" applyBorder="1"/>
    <xf numFmtId="164" fontId="44" fillId="0" borderId="44" xfId="5" applyNumberFormat="1" applyFont="1" applyBorder="1"/>
    <xf numFmtId="164" fontId="11" fillId="0" borderId="0" xfId="5" applyNumberFormat="1" applyFont="1" applyFill="1" applyBorder="1"/>
    <xf numFmtId="164" fontId="44" fillId="0" borderId="8" xfId="5" applyNumberFormat="1" applyFont="1" applyBorder="1"/>
    <xf numFmtId="164" fontId="44" fillId="0" borderId="9" xfId="5" applyNumberFormat="1" applyFont="1" applyBorder="1"/>
    <xf numFmtId="164" fontId="44" fillId="0" borderId="2" xfId="0" applyNumberFormat="1" applyFont="1" applyBorder="1"/>
    <xf numFmtId="164" fontId="44" fillId="0" borderId="44" xfId="0" applyNumberFormat="1" applyFont="1" applyBorder="1"/>
    <xf numFmtId="164" fontId="11" fillId="0" borderId="0" xfId="0" applyNumberFormat="1" applyFont="1" applyFill="1" applyBorder="1"/>
    <xf numFmtId="0" fontId="102" fillId="0" borderId="0" xfId="0" applyFont="1"/>
    <xf numFmtId="0" fontId="11" fillId="0" borderId="1" xfId="0" applyFont="1" applyBorder="1"/>
    <xf numFmtId="0" fontId="44" fillId="0" borderId="2" xfId="0" applyFont="1" applyBorder="1"/>
    <xf numFmtId="0" fontId="44" fillId="0" borderId="44" xfId="0" applyFont="1" applyBorder="1"/>
    <xf numFmtId="43" fontId="11" fillId="0" borderId="0" xfId="4" applyFont="1" applyFill="1" applyBorder="1"/>
    <xf numFmtId="164" fontId="44" fillId="0" borderId="61" xfId="5" applyNumberFormat="1" applyFont="1" applyBorder="1"/>
    <xf numFmtId="0" fontId="11" fillId="0" borderId="27" xfId="0" applyFont="1" applyBorder="1"/>
    <xf numFmtId="164" fontId="102" fillId="0" borderId="2" xfId="0" applyNumberFormat="1" applyFont="1" applyBorder="1"/>
    <xf numFmtId="164" fontId="102" fillId="0" borderId="44" xfId="0" applyNumberFormat="1" applyFont="1" applyBorder="1"/>
    <xf numFmtId="0" fontId="103" fillId="0" borderId="2" xfId="0" applyFont="1" applyBorder="1"/>
    <xf numFmtId="164" fontId="11" fillId="0" borderId="0" xfId="0" applyNumberFormat="1" applyFont="1" applyBorder="1"/>
    <xf numFmtId="43" fontId="82" fillId="0" borderId="1" xfId="0" applyNumberFormat="1" applyFont="1" applyFill="1" applyBorder="1"/>
    <xf numFmtId="43" fontId="82" fillId="0" borderId="0" xfId="0" applyNumberFormat="1" applyFont="1" applyFill="1" applyBorder="1"/>
    <xf numFmtId="0" fontId="82" fillId="0" borderId="0" xfId="0" applyFont="1" applyFill="1" applyBorder="1"/>
    <xf numFmtId="0" fontId="82" fillId="0" borderId="26" xfId="0" applyFont="1" applyFill="1" applyBorder="1"/>
    <xf numFmtId="164" fontId="82" fillId="0" borderId="26" xfId="5" applyNumberFormat="1" applyFont="1" applyFill="1" applyBorder="1"/>
    <xf numFmtId="43" fontId="9" fillId="0" borderId="0" xfId="0" applyNumberFormat="1" applyFont="1" applyFill="1" applyBorder="1"/>
    <xf numFmtId="0" fontId="9" fillId="0" borderId="1" xfId="0" applyFont="1" applyFill="1" applyBorder="1"/>
    <xf numFmtId="0" fontId="9" fillId="0" borderId="0" xfId="0" applyFont="1" applyFill="1" applyBorder="1"/>
    <xf numFmtId="0" fontId="30" fillId="0" borderId="0" xfId="0" applyFont="1" applyFill="1" applyBorder="1"/>
    <xf numFmtId="43" fontId="30" fillId="0" borderId="0" xfId="0" applyNumberFormat="1" applyFont="1" applyFill="1" applyBorder="1"/>
    <xf numFmtId="43" fontId="9" fillId="0" borderId="0" xfId="0" applyNumberFormat="1" applyFont="1" applyBorder="1"/>
    <xf numFmtId="43" fontId="11" fillId="0" borderId="0" xfId="4" applyFont="1" applyBorder="1"/>
    <xf numFmtId="0" fontId="9" fillId="0" borderId="0" xfId="0" applyFont="1" applyBorder="1"/>
    <xf numFmtId="164" fontId="9" fillId="0" borderId="0" xfId="0" applyNumberFormat="1" applyFont="1" applyBorder="1"/>
    <xf numFmtId="43" fontId="31" fillId="0" borderId="2" xfId="4" applyFont="1" applyBorder="1"/>
    <xf numFmtId="43" fontId="31" fillId="0" borderId="8" xfId="4" applyFont="1" applyBorder="1"/>
    <xf numFmtId="43" fontId="31" fillId="0" borderId="32" xfId="4" applyFont="1" applyBorder="1"/>
    <xf numFmtId="0" fontId="31" fillId="0" borderId="32" xfId="0" applyFont="1" applyBorder="1"/>
    <xf numFmtId="43" fontId="31" fillId="0" borderId="41" xfId="4" applyFont="1" applyBorder="1"/>
    <xf numFmtId="0" fontId="105" fillId="0" borderId="0" xfId="0" applyFont="1"/>
    <xf numFmtId="43" fontId="77" fillId="0" borderId="58" xfId="0" applyNumberFormat="1" applyFont="1" applyBorder="1"/>
    <xf numFmtId="43" fontId="77" fillId="0" borderId="52" xfId="0" applyNumberFormat="1" applyFont="1" applyBorder="1"/>
    <xf numFmtId="43" fontId="31" fillId="0" borderId="2" xfId="4" applyFont="1" applyFill="1" applyBorder="1"/>
    <xf numFmtId="0" fontId="7" fillId="0" borderId="58" xfId="0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wrapText="1"/>
    </xf>
    <xf numFmtId="4" fontId="31" fillId="0" borderId="9" xfId="0" applyNumberFormat="1" applyFont="1" applyBorder="1"/>
    <xf numFmtId="43" fontId="31" fillId="0" borderId="9" xfId="4" applyFont="1" applyBorder="1"/>
    <xf numFmtId="43" fontId="31" fillId="0" borderId="50" xfId="4" applyFont="1" applyBorder="1"/>
    <xf numFmtId="0" fontId="7" fillId="6" borderId="38" xfId="0" applyFont="1" applyFill="1" applyBorder="1"/>
    <xf numFmtId="43" fontId="7" fillId="6" borderId="3" xfId="4" applyFont="1" applyFill="1" applyBorder="1" applyAlignment="1">
      <alignment horizontal="right"/>
    </xf>
    <xf numFmtId="43" fontId="7" fillId="0" borderId="19" xfId="4" applyFont="1" applyFill="1" applyBorder="1"/>
    <xf numFmtId="43" fontId="4" fillId="0" borderId="19" xfId="4" applyFont="1" applyBorder="1"/>
    <xf numFmtId="43" fontId="7" fillId="0" borderId="16" xfId="4" applyFont="1" applyFill="1" applyBorder="1"/>
    <xf numFmtId="43" fontId="7" fillId="0" borderId="9" xfId="4" applyFont="1" applyBorder="1"/>
    <xf numFmtId="43" fontId="4" fillId="0" borderId="2" xfId="4" applyFont="1" applyBorder="1"/>
    <xf numFmtId="0" fontId="7" fillId="0" borderId="51" xfId="0" applyFont="1" applyBorder="1" applyAlignment="1">
      <alignment wrapText="1"/>
    </xf>
    <xf numFmtId="0" fontId="44" fillId="0" borderId="0" xfId="0" applyFont="1" applyBorder="1"/>
    <xf numFmtId="4" fontId="78" fillId="0" borderId="39" xfId="0" applyNumberFormat="1" applyFont="1" applyBorder="1"/>
    <xf numFmtId="43" fontId="78" fillId="0" borderId="39" xfId="4" applyFont="1" applyBorder="1"/>
    <xf numFmtId="43" fontId="78" fillId="0" borderId="40" xfId="4" applyFont="1" applyBorder="1"/>
    <xf numFmtId="0" fontId="7" fillId="0" borderId="0" xfId="0" applyFont="1" applyBorder="1"/>
    <xf numFmtId="0" fontId="87" fillId="0" borderId="70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/>
    </xf>
    <xf numFmtId="43" fontId="7" fillId="0" borderId="19" xfId="4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7" fillId="0" borderId="2" xfId="4" applyFont="1" applyBorder="1"/>
    <xf numFmtId="0" fontId="3" fillId="0" borderId="51" xfId="0" applyFont="1" applyBorder="1"/>
    <xf numFmtId="0" fontId="3" fillId="0" borderId="51" xfId="0" applyFont="1" applyBorder="1" applyAlignment="1">
      <alignment horizontal="center"/>
    </xf>
    <xf numFmtId="0" fontId="7" fillId="0" borderId="28" xfId="0" applyFont="1" applyBorder="1" applyAlignment="1">
      <alignment wrapText="1"/>
    </xf>
    <xf numFmtId="43" fontId="7" fillId="0" borderId="9" xfId="4" applyFont="1" applyBorder="1" applyAlignment="1">
      <alignment horizontal="right"/>
    </xf>
    <xf numFmtId="0" fontId="3" fillId="7" borderId="58" xfId="0" applyFont="1" applyFill="1" applyBorder="1"/>
    <xf numFmtId="0" fontId="7" fillId="0" borderId="9" xfId="0" applyFont="1" applyBorder="1" applyAlignment="1">
      <alignment horizontal="right"/>
    </xf>
    <xf numFmtId="0" fontId="7" fillId="0" borderId="58" xfId="0" applyFont="1" applyBorder="1" applyAlignment="1">
      <alignment wrapText="1"/>
    </xf>
    <xf numFmtId="0" fontId="7" fillId="7" borderId="58" xfId="0" applyFont="1" applyFill="1" applyBorder="1" applyAlignment="1">
      <alignment vertical="top" wrapText="1"/>
    </xf>
    <xf numFmtId="0" fontId="7" fillId="7" borderId="52" xfId="0" applyFont="1" applyFill="1" applyBorder="1" applyAlignment="1">
      <alignment vertical="top" wrapText="1"/>
    </xf>
    <xf numFmtId="43" fontId="4" fillId="0" borderId="2" xfId="0" applyNumberFormat="1" applyFont="1" applyBorder="1"/>
    <xf numFmtId="0" fontId="4" fillId="0" borderId="2" xfId="0" applyFont="1" applyBorder="1"/>
    <xf numFmtId="43" fontId="87" fillId="0" borderId="1" xfId="0" applyNumberFormat="1" applyFont="1" applyBorder="1"/>
    <xf numFmtId="0" fontId="86" fillId="0" borderId="10" xfId="0" applyFont="1" applyBorder="1" applyAlignment="1">
      <alignment horizontal="right"/>
    </xf>
    <xf numFmtId="43" fontId="3" fillId="0" borderId="33" xfId="0" applyNumberFormat="1" applyFont="1" applyBorder="1"/>
    <xf numFmtId="43" fontId="3" fillId="0" borderId="10" xfId="0" applyNumberFormat="1" applyFont="1" applyBorder="1"/>
    <xf numFmtId="0" fontId="7" fillId="0" borderId="10" xfId="0" applyFont="1" applyBorder="1" applyAlignment="1">
      <alignment horizontal="right"/>
    </xf>
    <xf numFmtId="169" fontId="7" fillId="0" borderId="0" xfId="0" applyNumberFormat="1" applyFont="1" applyBorder="1"/>
    <xf numFmtId="0" fontId="44" fillId="0" borderId="26" xfId="0" applyFont="1" applyBorder="1"/>
    <xf numFmtId="43" fontId="7" fillId="0" borderId="29" xfId="0" applyNumberFormat="1" applyFont="1" applyBorder="1" applyAlignment="1">
      <alignment vertical="top"/>
    </xf>
    <xf numFmtId="43" fontId="7" fillId="0" borderId="20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0" fillId="0" borderId="0" xfId="0" applyFont="1" applyBorder="1"/>
    <xf numFmtId="43" fontId="4" fillId="0" borderId="50" xfId="0" applyNumberFormat="1" applyFont="1" applyBorder="1"/>
    <xf numFmtId="43" fontId="4" fillId="0" borderId="0" xfId="0" applyNumberFormat="1" applyFont="1" applyBorder="1"/>
    <xf numFmtId="164" fontId="7" fillId="0" borderId="2" xfId="5" applyNumberFormat="1" applyFont="1" applyBorder="1"/>
    <xf numFmtId="43" fontId="87" fillId="0" borderId="8" xfId="0" applyNumberFormat="1" applyFont="1" applyBorder="1"/>
    <xf numFmtId="0" fontId="87" fillId="0" borderId="55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39" fillId="0" borderId="0" xfId="0" applyFont="1"/>
    <xf numFmtId="164" fontId="39" fillId="0" borderId="2" xfId="0" applyNumberFormat="1" applyFont="1" applyBorder="1"/>
    <xf numFmtId="43" fontId="7" fillId="7" borderId="2" xfId="0" applyNumberFormat="1" applyFont="1" applyFill="1" applyBorder="1" applyAlignment="1">
      <alignment vertical="top"/>
    </xf>
    <xf numFmtId="0" fontId="7" fillId="0" borderId="52" xfId="0" applyFont="1" applyBorder="1" applyAlignment="1">
      <alignment horizontal="left" vertical="center" wrapText="1"/>
    </xf>
    <xf numFmtId="43" fontId="7" fillId="0" borderId="2" xfId="0" applyNumberFormat="1" applyFont="1" applyBorder="1"/>
    <xf numFmtId="0" fontId="78" fillId="0" borderId="0" xfId="0" applyFont="1"/>
    <xf numFmtId="43" fontId="7" fillId="0" borderId="62" xfId="4" applyFont="1" applyFill="1" applyBorder="1"/>
    <xf numFmtId="43" fontId="7" fillId="0" borderId="9" xfId="4" applyFont="1" applyFill="1" applyBorder="1"/>
    <xf numFmtId="43" fontId="7" fillId="0" borderId="50" xfId="0" applyNumberFormat="1" applyFont="1" applyFill="1" applyBorder="1"/>
    <xf numFmtId="0" fontId="78" fillId="0" borderId="0" xfId="0" applyFont="1" applyFill="1" applyBorder="1"/>
    <xf numFmtId="43" fontId="7" fillId="0" borderId="22" xfId="4" applyFont="1" applyFill="1" applyBorder="1"/>
    <xf numFmtId="43" fontId="7" fillId="0" borderId="2" xfId="4" applyFont="1" applyFill="1" applyBorder="1"/>
    <xf numFmtId="43" fontId="7" fillId="0" borderId="0" xfId="0" applyNumberFormat="1" applyFont="1" applyFill="1" applyBorder="1"/>
    <xf numFmtId="43" fontId="78" fillId="0" borderId="60" xfId="0" applyNumberFormat="1" applyFont="1" applyFill="1" applyBorder="1"/>
    <xf numFmtId="43" fontId="78" fillId="0" borderId="58" xfId="0" applyNumberFormat="1" applyFont="1" applyFill="1" applyBorder="1"/>
    <xf numFmtId="43" fontId="7" fillId="0" borderId="52" xfId="0" applyNumberFormat="1" applyFont="1" applyFill="1" applyBorder="1"/>
    <xf numFmtId="43" fontId="78" fillId="0" borderId="0" xfId="0" applyNumberFormat="1" applyFont="1" applyFill="1" applyBorder="1"/>
    <xf numFmtId="43" fontId="78" fillId="0" borderId="38" xfId="0" applyNumberFormat="1" applyFont="1" applyBorder="1"/>
    <xf numFmtId="164" fontId="7" fillId="0" borderId="44" xfId="0" applyNumberFormat="1" applyFont="1" applyBorder="1" applyAlignment="1">
      <alignment vertical="top"/>
    </xf>
    <xf numFmtId="43" fontId="31" fillId="0" borderId="0" xfId="0" applyNumberFormat="1" applyFont="1" applyFill="1" applyBorder="1"/>
    <xf numFmtId="43" fontId="31" fillId="0" borderId="0" xfId="4" applyFont="1" applyFill="1" applyBorder="1"/>
    <xf numFmtId="43" fontId="31" fillId="0" borderId="11" xfId="4" applyFont="1" applyBorder="1"/>
    <xf numFmtId="0" fontId="8" fillId="0" borderId="56" xfId="0" applyFont="1" applyFill="1" applyBorder="1" applyAlignment="1">
      <alignment wrapText="1"/>
    </xf>
    <xf numFmtId="0" fontId="31" fillId="0" borderId="0" xfId="0" applyFont="1" applyFill="1" applyBorder="1"/>
    <xf numFmtId="0" fontId="75" fillId="0" borderId="0" xfId="0" applyFont="1" applyBorder="1"/>
    <xf numFmtId="0" fontId="75" fillId="5" borderId="55" xfId="0" applyFont="1" applyFill="1" applyBorder="1" applyAlignment="1">
      <alignment horizontal="left" vertical="center" wrapText="1"/>
    </xf>
    <xf numFmtId="0" fontId="103" fillId="0" borderId="18" xfId="0" applyFont="1" applyFill="1" applyBorder="1" applyAlignment="1">
      <alignment horizontal="left" vertical="center" wrapText="1"/>
    </xf>
    <xf numFmtId="164" fontId="103" fillId="0" borderId="2" xfId="5" applyNumberFormat="1" applyFont="1" applyBorder="1"/>
    <xf numFmtId="164" fontId="103" fillId="0" borderId="2" xfId="0" applyNumberFormat="1" applyFont="1" applyBorder="1"/>
    <xf numFmtId="0" fontId="108" fillId="0" borderId="0" xfId="0" applyFont="1"/>
    <xf numFmtId="164" fontId="103" fillId="0" borderId="17" xfId="5" applyNumberFormat="1" applyFont="1" applyBorder="1"/>
    <xf numFmtId="164" fontId="108" fillId="0" borderId="2" xfId="0" applyNumberFormat="1" applyFont="1" applyBorder="1"/>
    <xf numFmtId="43" fontId="103" fillId="0" borderId="2" xfId="0" applyNumberFormat="1" applyFont="1" applyBorder="1"/>
    <xf numFmtId="0" fontId="103" fillId="0" borderId="0" xfId="0" applyFont="1" applyBorder="1"/>
    <xf numFmtId="0" fontId="109" fillId="0" borderId="0" xfId="0" applyFont="1"/>
    <xf numFmtId="0" fontId="104" fillId="0" borderId="0" xfId="0" applyFont="1" applyFill="1" applyBorder="1"/>
    <xf numFmtId="43" fontId="15" fillId="0" borderId="22" xfId="4" applyFont="1" applyFill="1" applyBorder="1"/>
    <xf numFmtId="43" fontId="15" fillId="0" borderId="2" xfId="4" applyFont="1" applyFill="1" applyBorder="1"/>
    <xf numFmtId="43" fontId="15" fillId="0" borderId="62" xfId="4" applyFont="1" applyFill="1" applyBorder="1"/>
    <xf numFmtId="43" fontId="75" fillId="0" borderId="50" xfId="0" applyNumberFormat="1" applyFont="1" applyFill="1" applyBorder="1"/>
    <xf numFmtId="0" fontId="110" fillId="0" borderId="0" xfId="0" applyFont="1" applyFill="1" applyBorder="1"/>
    <xf numFmtId="43" fontId="110" fillId="0" borderId="0" xfId="0" applyNumberFormat="1" applyFont="1" applyFill="1" applyBorder="1"/>
    <xf numFmtId="43" fontId="111" fillId="8" borderId="29" xfId="4" applyFont="1" applyFill="1" applyBorder="1"/>
    <xf numFmtId="0" fontId="111" fillId="8" borderId="51" xfId="0" applyFont="1" applyFill="1" applyBorder="1"/>
    <xf numFmtId="0" fontId="110" fillId="0" borderId="0" xfId="0" applyFont="1" applyBorder="1"/>
    <xf numFmtId="43" fontId="7" fillId="0" borderId="25" xfId="4" applyFont="1" applyFill="1" applyBorder="1"/>
    <xf numFmtId="43" fontId="7" fillId="0" borderId="44" xfId="4" applyFont="1" applyFill="1" applyBorder="1"/>
    <xf numFmtId="43" fontId="3" fillId="0" borderId="50" xfId="0" applyNumberFormat="1" applyFont="1" applyFill="1" applyBorder="1"/>
    <xf numFmtId="0" fontId="77" fillId="0" borderId="26" xfId="0" applyFont="1" applyFill="1" applyBorder="1"/>
    <xf numFmtId="43" fontId="3" fillId="0" borderId="37" xfId="0" applyNumberFormat="1" applyFont="1" applyFill="1" applyBorder="1"/>
    <xf numFmtId="43" fontId="3" fillId="0" borderId="0" xfId="0" applyNumberFormat="1" applyFont="1" applyFill="1" applyBorder="1"/>
    <xf numFmtId="43" fontId="77" fillId="0" borderId="38" xfId="0" applyNumberFormat="1" applyFont="1" applyBorder="1"/>
    <xf numFmtId="43" fontId="77" fillId="0" borderId="60" xfId="0" applyNumberFormat="1" applyFont="1" applyFill="1" applyBorder="1"/>
    <xf numFmtId="43" fontId="77" fillId="0" borderId="58" xfId="0" applyNumberFormat="1" applyFont="1" applyFill="1" applyBorder="1"/>
    <xf numFmtId="43" fontId="31" fillId="0" borderId="22" xfId="4" applyFont="1" applyBorder="1"/>
    <xf numFmtId="43" fontId="75" fillId="0" borderId="32" xfId="0" applyNumberFormat="1" applyFont="1" applyFill="1" applyBorder="1"/>
    <xf numFmtId="43" fontId="75" fillId="0" borderId="0" xfId="0" applyNumberFormat="1" applyFont="1" applyFill="1" applyBorder="1"/>
    <xf numFmtId="0" fontId="31" fillId="0" borderId="34" xfId="0" applyFont="1" applyFill="1" applyBorder="1"/>
    <xf numFmtId="0" fontId="31" fillId="0" borderId="60" xfId="0" applyFont="1" applyFill="1" applyBorder="1"/>
    <xf numFmtId="43" fontId="111" fillId="0" borderId="60" xfId="0" applyNumberFormat="1" applyFont="1" applyFill="1" applyBorder="1"/>
    <xf numFmtId="43" fontId="31" fillId="0" borderId="0" xfId="0" applyNumberFormat="1" applyFont="1" applyBorder="1"/>
    <xf numFmtId="0" fontId="31" fillId="0" borderId="29" xfId="0" applyFont="1" applyFill="1" applyBorder="1"/>
    <xf numFmtId="0" fontId="31" fillId="0" borderId="58" xfId="0" applyFont="1" applyFill="1" applyBorder="1"/>
    <xf numFmtId="43" fontId="111" fillId="0" borderId="58" xfId="0" applyNumberFormat="1" applyFont="1" applyFill="1" applyBorder="1"/>
    <xf numFmtId="0" fontId="31" fillId="0" borderId="51" xfId="0" applyFont="1" applyFill="1" applyBorder="1"/>
    <xf numFmtId="0" fontId="31" fillId="0" borderId="52" xfId="0" applyFont="1" applyFill="1" applyBorder="1"/>
    <xf numFmtId="43" fontId="75" fillId="0" borderId="52" xfId="0" applyNumberFormat="1" applyFont="1" applyFill="1" applyBorder="1"/>
    <xf numFmtId="0" fontId="31" fillId="0" borderId="0" xfId="0" applyFont="1" applyBorder="1"/>
    <xf numFmtId="43" fontId="111" fillId="0" borderId="0" xfId="0" applyNumberFormat="1" applyFont="1" applyBorder="1"/>
    <xf numFmtId="0" fontId="31" fillId="0" borderId="0" xfId="0" applyFont="1" applyBorder="1" applyAlignment="1">
      <alignment horizontal="right"/>
    </xf>
    <xf numFmtId="43" fontId="77" fillId="0" borderId="0" xfId="0" applyNumberFormat="1" applyFont="1" applyBorder="1"/>
    <xf numFmtId="43" fontId="31" fillId="0" borderId="2" xfId="0" applyNumberFormat="1" applyFont="1" applyBorder="1"/>
    <xf numFmtId="43" fontId="78" fillId="0" borderId="74" xfId="4" applyFont="1" applyBorder="1"/>
    <xf numFmtId="0" fontId="78" fillId="0" borderId="2" xfId="0" applyFont="1" applyBorder="1"/>
    <xf numFmtId="0" fontId="7" fillId="0" borderId="33" xfId="0" applyFont="1" applyBorder="1"/>
    <xf numFmtId="0" fontId="7" fillId="0" borderId="10" xfId="0" applyFont="1" applyBorder="1"/>
    <xf numFmtId="43" fontId="7" fillId="0" borderId="10" xfId="0" applyNumberFormat="1" applyFont="1" applyBorder="1"/>
    <xf numFmtId="43" fontId="7" fillId="0" borderId="33" xfId="0" applyNumberFormat="1" applyFont="1" applyBorder="1"/>
    <xf numFmtId="43" fontId="7" fillId="0" borderId="17" xfId="0" applyNumberFormat="1" applyFont="1" applyBorder="1"/>
    <xf numFmtId="0" fontId="7" fillId="15" borderId="43" xfId="0" applyFont="1" applyFill="1" applyBorder="1" applyAlignment="1">
      <alignment vertical="top" wrapText="1"/>
    </xf>
    <xf numFmtId="0" fontId="3" fillId="15" borderId="55" xfId="0" applyFont="1" applyFill="1" applyBorder="1" applyAlignment="1">
      <alignment vertical="top" wrapText="1"/>
    </xf>
    <xf numFmtId="0" fontId="7" fillId="15" borderId="55" xfId="0" applyFont="1" applyFill="1" applyBorder="1" applyAlignment="1">
      <alignment vertical="top" wrapText="1"/>
    </xf>
    <xf numFmtId="0" fontId="15" fillId="15" borderId="55" xfId="0" applyFont="1" applyFill="1" applyBorder="1" applyAlignment="1">
      <alignment wrapText="1"/>
    </xf>
    <xf numFmtId="0" fontId="107" fillId="15" borderId="54" xfId="0" applyFont="1" applyFill="1" applyBorder="1" applyAlignment="1">
      <alignment horizontal="center" wrapText="1"/>
    </xf>
    <xf numFmtId="0" fontId="7" fillId="14" borderId="55" xfId="0" applyFont="1" applyFill="1" applyBorder="1" applyAlignment="1">
      <alignment vertical="top" wrapText="1"/>
    </xf>
    <xf numFmtId="43" fontId="4" fillId="15" borderId="2" xfId="4" applyFont="1" applyFill="1" applyBorder="1"/>
    <xf numFmtId="43" fontId="10" fillId="5" borderId="52" xfId="0" applyNumberFormat="1" applyFont="1" applyFill="1" applyBorder="1"/>
    <xf numFmtId="164" fontId="10" fillId="5" borderId="44" xfId="0" applyNumberFormat="1" applyFont="1" applyFill="1" applyBorder="1"/>
    <xf numFmtId="43" fontId="78" fillId="0" borderId="11" xfId="4" applyFont="1" applyBorder="1"/>
    <xf numFmtId="0" fontId="110" fillId="8" borderId="0" xfId="0" applyFont="1" applyFill="1" applyBorder="1"/>
    <xf numFmtId="0" fontId="7" fillId="0" borderId="0" xfId="0" applyFont="1" applyFill="1" applyBorder="1" applyAlignment="1">
      <alignment horizontal="center" vertical="top" wrapText="1"/>
    </xf>
    <xf numFmtId="43" fontId="78" fillId="0" borderId="2" xfId="4" applyFont="1" applyBorder="1"/>
    <xf numFmtId="0" fontId="7" fillId="0" borderId="29" xfId="0" applyFont="1" applyFill="1" applyBorder="1" applyAlignment="1">
      <alignment horizontal="left" wrapText="1"/>
    </xf>
    <xf numFmtId="0" fontId="7" fillId="0" borderId="29" xfId="0" applyFont="1" applyFill="1" applyBorder="1" applyAlignment="1">
      <alignment horizontal="center" wrapText="1"/>
    </xf>
    <xf numFmtId="0" fontId="7" fillId="0" borderId="29" xfId="0" applyFont="1" applyFill="1" applyBorder="1" applyAlignment="1">
      <alignment horizontal="center" vertical="top" wrapText="1"/>
    </xf>
    <xf numFmtId="43" fontId="31" fillId="0" borderId="36" xfId="0" applyNumberFormat="1" applyFont="1" applyFill="1" applyBorder="1"/>
    <xf numFmtId="43" fontId="31" fillId="0" borderId="75" xfId="0" applyNumberFormat="1" applyFont="1" applyFill="1" applyBorder="1"/>
    <xf numFmtId="43" fontId="4" fillId="0" borderId="76" xfId="0" applyNumberFormat="1" applyFont="1" applyFill="1" applyBorder="1"/>
    <xf numFmtId="43" fontId="111" fillId="15" borderId="2" xfId="4" applyFont="1" applyFill="1" applyBorder="1"/>
    <xf numFmtId="0" fontId="8" fillId="0" borderId="10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43" fontId="3" fillId="6" borderId="5" xfId="4" applyFont="1" applyFill="1" applyBorder="1"/>
    <xf numFmtId="0" fontId="15" fillId="0" borderId="2" xfId="0" applyFont="1" applyBorder="1" applyAlignment="1">
      <alignment vertical="top"/>
    </xf>
    <xf numFmtId="0" fontId="87" fillId="14" borderId="55" xfId="0" applyFont="1" applyFill="1" applyBorder="1" applyAlignment="1">
      <alignment horizontal="left" vertical="top" wrapText="1"/>
    </xf>
    <xf numFmtId="43" fontId="4" fillId="14" borderId="2" xfId="0" applyNumberFormat="1" applyFont="1" applyFill="1" applyBorder="1"/>
    <xf numFmtId="43" fontId="5" fillId="14" borderId="52" xfId="0" applyNumberFormat="1" applyFont="1" applyFill="1" applyBorder="1"/>
    <xf numFmtId="0" fontId="3" fillId="7" borderId="58" xfId="0" applyFont="1" applyFill="1" applyBorder="1" applyAlignment="1"/>
    <xf numFmtId="0" fontId="7" fillId="0" borderId="28" xfId="0" applyFont="1" applyBorder="1" applyAlignment="1"/>
    <xf numFmtId="0" fontId="7" fillId="0" borderId="51" xfId="0" applyFont="1" applyBorder="1" applyAlignment="1">
      <alignment vertical="top"/>
    </xf>
    <xf numFmtId="0" fontId="7" fillId="0" borderId="51" xfId="0" quotePrefix="1" applyFont="1" applyBorder="1" applyAlignment="1">
      <alignment wrapText="1"/>
    </xf>
    <xf numFmtId="0" fontId="7" fillId="0" borderId="51" xfId="0" applyFont="1" applyBorder="1" applyAlignment="1"/>
    <xf numFmtId="0" fontId="7" fillId="0" borderId="29" xfId="0" applyFont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21" xfId="0" applyFont="1" applyBorder="1"/>
    <xf numFmtId="0" fontId="7" fillId="0" borderId="22" xfId="0" applyFont="1" applyBorder="1"/>
    <xf numFmtId="43" fontId="8" fillId="0" borderId="24" xfId="1" applyFont="1" applyBorder="1" applyAlignment="1">
      <alignment wrapText="1"/>
    </xf>
    <xf numFmtId="43" fontId="8" fillId="0" borderId="36" xfId="1" applyFont="1" applyBorder="1" applyAlignment="1">
      <alignment wrapText="1"/>
    </xf>
    <xf numFmtId="43" fontId="4" fillId="0" borderId="45" xfId="1" applyFont="1" applyBorder="1" applyAlignment="1">
      <alignment horizontal="center" vertical="center"/>
    </xf>
    <xf numFmtId="43" fontId="4" fillId="0" borderId="46" xfId="1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98" fillId="0" borderId="3" xfId="0" applyFont="1" applyBorder="1" applyAlignment="1">
      <alignment horizontal="right" wrapText="1"/>
    </xf>
    <xf numFmtId="0" fontId="98" fillId="0" borderId="4" xfId="0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43" fontId="87" fillId="3" borderId="17" xfId="0" applyNumberFormat="1" applyFont="1" applyFill="1" applyBorder="1" applyAlignment="1">
      <alignment horizontal="center" vertical="top" wrapText="1"/>
    </xf>
    <xf numFmtId="43" fontId="87" fillId="3" borderId="18" xfId="0" applyNumberFormat="1" applyFont="1" applyFill="1" applyBorder="1" applyAlignment="1">
      <alignment horizontal="center" vertical="top" wrapText="1"/>
    </xf>
    <xf numFmtId="43" fontId="87" fillId="3" borderId="19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20" fillId="4" borderId="20" xfId="0" applyFont="1" applyFill="1" applyBorder="1" applyAlignment="1">
      <alignment wrapText="1"/>
    </xf>
    <xf numFmtId="0" fontId="20" fillId="4" borderId="9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27" xfId="0" applyFont="1" applyBorder="1" applyAlignment="1">
      <alignment wrapText="1"/>
    </xf>
    <xf numFmtId="0" fontId="74" fillId="3" borderId="2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3" borderId="33" xfId="0" applyFont="1" applyFill="1" applyBorder="1" applyAlignment="1">
      <alignment wrapText="1"/>
    </xf>
    <xf numFmtId="0" fontId="77" fillId="0" borderId="27" xfId="0" applyFont="1" applyBorder="1" applyAlignment="1">
      <alignment wrapText="1"/>
    </xf>
    <xf numFmtId="0" fontId="77" fillId="0" borderId="15" xfId="0" applyFont="1" applyBorder="1" applyAlignment="1">
      <alignment wrapText="1"/>
    </xf>
    <xf numFmtId="0" fontId="77" fillId="0" borderId="16" xfId="0" applyFont="1" applyBorder="1" applyAlignment="1">
      <alignment wrapText="1"/>
    </xf>
    <xf numFmtId="0" fontId="76" fillId="9" borderId="33" xfId="0" applyFont="1" applyFill="1" applyBorder="1" applyAlignment="1">
      <alignment wrapText="1"/>
    </xf>
    <xf numFmtId="0" fontId="76" fillId="9" borderId="10" xfId="0" applyFont="1" applyFill="1" applyBorder="1" applyAlignment="1">
      <alignment wrapText="1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3" fillId="3" borderId="28" xfId="0" applyFont="1" applyFill="1" applyBorder="1" applyAlignment="1">
      <alignment wrapText="1"/>
    </xf>
    <xf numFmtId="0" fontId="5" fillId="3" borderId="29" xfId="0" applyFont="1" applyFill="1" applyBorder="1"/>
    <xf numFmtId="0" fontId="5" fillId="3" borderId="20" xfId="0" applyFont="1" applyFill="1" applyBorder="1"/>
    <xf numFmtId="0" fontId="5" fillId="3" borderId="9" xfId="0" applyFont="1" applyFill="1" applyBorder="1"/>
    <xf numFmtId="0" fontId="28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97" fillId="0" borderId="30" xfId="0" applyFont="1" applyBorder="1" applyAlignment="1">
      <alignment horizontal="left" vertical="top" wrapText="1"/>
    </xf>
    <xf numFmtId="0" fontId="97" fillId="0" borderId="31" xfId="0" applyFont="1" applyBorder="1" applyAlignment="1">
      <alignment horizontal="left" vertical="top" wrapText="1"/>
    </xf>
    <xf numFmtId="0" fontId="97" fillId="0" borderId="48" xfId="0" applyFont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43" fontId="12" fillId="5" borderId="6" xfId="0" applyNumberFormat="1" applyFont="1" applyFill="1" applyBorder="1" applyAlignment="1">
      <alignment wrapText="1"/>
    </xf>
    <xf numFmtId="43" fontId="12" fillId="5" borderId="30" xfId="0" applyNumberFormat="1" applyFont="1" applyFill="1" applyBorder="1" applyAlignment="1">
      <alignment wrapText="1"/>
    </xf>
    <xf numFmtId="43" fontId="0" fillId="5" borderId="45" xfId="0" applyNumberFormat="1" applyFill="1" applyBorder="1"/>
    <xf numFmtId="0" fontId="0" fillId="5" borderId="42" xfId="0" applyFill="1" applyBorder="1"/>
    <xf numFmtId="0" fontId="4" fillId="3" borderId="4" xfId="0" applyFont="1" applyFill="1" applyBorder="1" applyAlignment="1">
      <alignment horizontal="center" vertical="center"/>
    </xf>
    <xf numFmtId="0" fontId="100" fillId="0" borderId="8" xfId="0" applyFont="1" applyBorder="1" applyAlignment="1">
      <alignment horizontal="right" wrapText="1"/>
    </xf>
    <xf numFmtId="0" fontId="100" fillId="0" borderId="20" xfId="0" applyFont="1" applyBorder="1" applyAlignment="1">
      <alignment horizontal="right" wrapText="1"/>
    </xf>
    <xf numFmtId="0" fontId="100" fillId="0" borderId="9" xfId="0" applyFont="1" applyBorder="1" applyAlignment="1">
      <alignment horizontal="right" wrapText="1"/>
    </xf>
    <xf numFmtId="0" fontId="27" fillId="0" borderId="0" xfId="0" applyFont="1" applyBorder="1" applyAlignment="1">
      <alignment wrapText="1"/>
    </xf>
    <xf numFmtId="0" fontId="4" fillId="0" borderId="51" xfId="0" applyFont="1" applyBorder="1" applyAlignment="1">
      <alignment horizontal="left" wrapText="1"/>
    </xf>
    <xf numFmtId="0" fontId="4" fillId="0" borderId="49" xfId="0" applyFont="1" applyBorder="1" applyAlignment="1">
      <alignment horizontal="left" wrapText="1"/>
    </xf>
    <xf numFmtId="0" fontId="4" fillId="0" borderId="50" xfId="0" applyFont="1" applyBorder="1" applyAlignment="1">
      <alignment horizontal="left" wrapText="1"/>
    </xf>
    <xf numFmtId="0" fontId="76" fillId="9" borderId="8" xfId="0" applyFont="1" applyFill="1" applyBorder="1" applyAlignment="1">
      <alignment wrapText="1"/>
    </xf>
    <xf numFmtId="0" fontId="76" fillId="9" borderId="20" xfId="0" applyFont="1" applyFill="1" applyBorder="1" applyAlignment="1">
      <alignment wrapText="1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4" fillId="0" borderId="24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0" fontId="99" fillId="0" borderId="3" xfId="0" applyFont="1" applyBorder="1" applyAlignment="1">
      <alignment horizontal="left" wrapText="1"/>
    </xf>
    <xf numFmtId="0" fontId="99" fillId="0" borderId="4" xfId="0" applyFont="1" applyBorder="1" applyAlignment="1">
      <alignment horizontal="left" wrapText="1"/>
    </xf>
    <xf numFmtId="0" fontId="99" fillId="0" borderId="5" xfId="0" applyFont="1" applyBorder="1" applyAlignment="1">
      <alignment horizontal="left" wrapText="1"/>
    </xf>
    <xf numFmtId="0" fontId="100" fillId="0" borderId="3" xfId="0" applyFont="1" applyBorder="1" applyAlignment="1">
      <alignment horizontal="left" wrapText="1"/>
    </xf>
    <xf numFmtId="0" fontId="100" fillId="0" borderId="4" xfId="0" applyFont="1" applyBorder="1" applyAlignment="1">
      <alignment horizontal="left" wrapText="1"/>
    </xf>
    <xf numFmtId="0" fontId="100" fillId="0" borderId="5" xfId="0" applyFont="1" applyBorder="1" applyAlignment="1">
      <alignment horizontal="left" wrapText="1"/>
    </xf>
    <xf numFmtId="164" fontId="3" fillId="0" borderId="45" xfId="5" applyNumberFormat="1" applyFont="1" applyBorder="1" applyAlignment="1">
      <alignment horizontal="center" vertical="center" wrapText="1"/>
    </xf>
    <xf numFmtId="164" fontId="3" fillId="0" borderId="42" xfId="5" applyNumberFormat="1" applyFont="1" applyBorder="1" applyAlignment="1">
      <alignment horizontal="center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31" fillId="15" borderId="3" xfId="0" applyFont="1" applyFill="1" applyBorder="1" applyAlignment="1">
      <alignment horizontal="center" vertical="center" wrapText="1"/>
    </xf>
    <xf numFmtId="0" fontId="31" fillId="15" borderId="4" xfId="0" applyFont="1" applyFill="1" applyBorder="1" applyAlignment="1">
      <alignment horizontal="center" vertical="center" wrapText="1"/>
    </xf>
    <xf numFmtId="0" fontId="31" fillId="1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top" wrapText="1"/>
    </xf>
    <xf numFmtId="0" fontId="6" fillId="0" borderId="33" xfId="0" applyFont="1" applyFill="1" applyBorder="1"/>
    <xf numFmtId="0" fontId="6" fillId="0" borderId="11" xfId="0" applyFont="1" applyFill="1" applyBorder="1"/>
    <xf numFmtId="0" fontId="31" fillId="0" borderId="12" xfId="0" applyFont="1" applyFill="1" applyBorder="1"/>
    <xf numFmtId="0" fontId="31" fillId="0" borderId="13" xfId="0" applyFont="1" applyFill="1" applyBorder="1"/>
    <xf numFmtId="0" fontId="6" fillId="0" borderId="14" xfId="0" applyFont="1" applyFill="1" applyBorder="1"/>
    <xf numFmtId="0" fontId="6" fillId="0" borderId="16" xfId="0" applyFont="1" applyFill="1" applyBorder="1"/>
    <xf numFmtId="0" fontId="4" fillId="0" borderId="70" xfId="0" applyFont="1" applyFill="1" applyBorder="1"/>
    <xf numFmtId="0" fontId="4" fillId="0" borderId="71" xfId="0" applyFont="1" applyFill="1" applyBorder="1"/>
    <xf numFmtId="0" fontId="31" fillId="0" borderId="6" xfId="0" applyFont="1" applyFill="1" applyBorder="1"/>
    <xf numFmtId="0" fontId="31" fillId="0" borderId="7" xfId="0" applyFont="1" applyFill="1" applyBorder="1"/>
    <xf numFmtId="0" fontId="31" fillId="0" borderId="1" xfId="0" applyFont="1" applyFill="1" applyBorder="1"/>
    <xf numFmtId="0" fontId="31" fillId="0" borderId="0" xfId="0" applyFont="1" applyFill="1" applyBorder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47" xfId="0" applyFont="1" applyBorder="1" applyAlignment="1">
      <alignment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5" fillId="8" borderId="34" xfId="0" applyFont="1" applyFill="1" applyBorder="1" applyAlignment="1">
      <alignment wrapText="1"/>
    </xf>
    <xf numFmtId="0" fontId="75" fillId="8" borderId="29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5" fillId="8" borderId="2" xfId="0" applyFont="1" applyFill="1" applyBorder="1" applyAlignment="1">
      <alignment wrapText="1"/>
    </xf>
    <xf numFmtId="0" fontId="15" fillId="15" borderId="2" xfId="0" applyFont="1" applyFill="1" applyBorder="1" applyAlignment="1">
      <alignment wrapText="1"/>
    </xf>
    <xf numFmtId="0" fontId="86" fillId="0" borderId="69" xfId="0" applyFont="1" applyFill="1" applyBorder="1" applyAlignment="1">
      <alignment horizontal="left" vertical="center" wrapText="1"/>
    </xf>
    <xf numFmtId="0" fontId="86" fillId="0" borderId="72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vertical="top" wrapText="1"/>
    </xf>
    <xf numFmtId="0" fontId="7" fillId="0" borderId="75" xfId="0" applyFont="1" applyBorder="1" applyAlignment="1">
      <alignment vertical="top" wrapText="1"/>
    </xf>
    <xf numFmtId="0" fontId="23" fillId="0" borderId="45" xfId="0" applyFont="1" applyBorder="1" applyAlignment="1">
      <alignment wrapText="1"/>
    </xf>
    <xf numFmtId="0" fontId="23" fillId="0" borderId="4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48" xfId="0" applyFont="1" applyBorder="1" applyAlignment="1">
      <alignment wrapText="1"/>
    </xf>
    <xf numFmtId="43" fontId="4" fillId="0" borderId="42" xfId="1" applyFont="1" applyBorder="1" applyAlignment="1">
      <alignment horizontal="center" vertical="center"/>
    </xf>
    <xf numFmtId="0" fontId="7" fillId="5" borderId="29" xfId="0" applyFont="1" applyFill="1" applyBorder="1" applyAlignment="1">
      <alignment wrapText="1"/>
    </xf>
    <xf numFmtId="0" fontId="7" fillId="5" borderId="20" xfId="0" applyFon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13" fillId="0" borderId="20" xfId="0" applyFont="1" applyBorder="1" applyAlignment="1">
      <alignment wrapText="1"/>
    </xf>
    <xf numFmtId="43" fontId="7" fillId="0" borderId="24" xfId="1" applyFont="1" applyBorder="1" applyAlignment="1">
      <alignment wrapText="1"/>
    </xf>
    <xf numFmtId="43" fontId="7" fillId="0" borderId="35" xfId="1" applyFont="1" applyBorder="1" applyAlignment="1">
      <alignment wrapText="1"/>
    </xf>
    <xf numFmtId="43" fontId="4" fillId="3" borderId="17" xfId="0" applyNumberFormat="1" applyFont="1" applyFill="1" applyBorder="1" applyAlignment="1">
      <alignment horizontal="center" vertical="top" wrapText="1"/>
    </xf>
    <xf numFmtId="43" fontId="4" fillId="3" borderId="18" xfId="0" applyNumberFormat="1" applyFont="1" applyFill="1" applyBorder="1" applyAlignment="1">
      <alignment horizontal="center" vertical="top" wrapText="1"/>
    </xf>
    <xf numFmtId="43" fontId="4" fillId="3" borderId="19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6" fillId="0" borderId="8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8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3" fillId="0" borderId="42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4" fillId="0" borderId="20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8" borderId="53" xfId="0" applyFont="1" applyFill="1" applyBorder="1" applyAlignment="1">
      <alignment wrapText="1"/>
    </xf>
    <xf numFmtId="0" fontId="4" fillId="8" borderId="58" xfId="0" applyFont="1" applyFill="1" applyBorder="1" applyAlignment="1">
      <alignment wrapText="1"/>
    </xf>
    <xf numFmtId="0" fontId="0" fillId="0" borderId="12" xfId="0" applyFill="1" applyBorder="1"/>
    <xf numFmtId="0" fontId="0" fillId="0" borderId="13" xfId="0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5" fillId="8" borderId="34" xfId="0" applyFont="1" applyFill="1" applyBorder="1" applyAlignment="1">
      <alignment wrapText="1"/>
    </xf>
    <xf numFmtId="0" fontId="5" fillId="8" borderId="29" xfId="0" applyFont="1" applyFill="1" applyBorder="1" applyAlignment="1">
      <alignment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5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40" fillId="0" borderId="15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right" vertical="center" indent="1"/>
    </xf>
    <xf numFmtId="0" fontId="40" fillId="0" borderId="0" xfId="12" applyFont="1" applyAlignment="1">
      <alignment horizontal="center"/>
    </xf>
    <xf numFmtId="0" fontId="3" fillId="0" borderId="0" xfId="12" applyFont="1" applyAlignment="1">
      <alignment horizontal="center"/>
    </xf>
    <xf numFmtId="0" fontId="80" fillId="0" borderId="0" xfId="12" applyFont="1" applyAlignment="1">
      <alignment horizontal="center"/>
    </xf>
    <xf numFmtId="0" fontId="41" fillId="0" borderId="0" xfId="12" applyFont="1" applyAlignment="1">
      <alignment horizontal="center"/>
    </xf>
    <xf numFmtId="0" fontId="79" fillId="0" borderId="0" xfId="12" applyAlignment="1">
      <alignment horizontal="center"/>
    </xf>
    <xf numFmtId="0" fontId="4" fillId="0" borderId="3" xfId="12" applyFont="1" applyBorder="1" applyAlignment="1">
      <alignment horizontal="center" vertical="center"/>
    </xf>
    <xf numFmtId="0" fontId="4" fillId="0" borderId="5" xfId="12" applyFont="1" applyBorder="1" applyAlignment="1">
      <alignment horizontal="center" vertical="center"/>
    </xf>
    <xf numFmtId="43" fontId="4" fillId="0" borderId="45" xfId="13" applyFont="1" applyBorder="1" applyAlignment="1">
      <alignment horizontal="center" vertical="center" wrapText="1"/>
    </xf>
    <xf numFmtId="43" fontId="4" fillId="0" borderId="53" xfId="13" applyFont="1" applyBorder="1" applyAlignment="1">
      <alignment horizontal="center" vertical="center" wrapText="1"/>
    </xf>
    <xf numFmtId="0" fontId="81" fillId="0" borderId="0" xfId="12" applyFont="1" applyAlignment="1">
      <alignment horizontal="center"/>
    </xf>
    <xf numFmtId="0" fontId="41" fillId="0" borderId="0" xfId="12" applyFont="1" applyBorder="1" applyAlignment="1">
      <alignment horizontal="center"/>
    </xf>
  </cellXfs>
  <cellStyles count="15">
    <cellStyle name="Migliaia" xfId="1" builtinId="3"/>
    <cellStyle name="Migliaia [0]" xfId="2" builtinId="6"/>
    <cellStyle name="Migliaia [0] 2" xfId="5"/>
    <cellStyle name="Migliaia [0] 3" xfId="6"/>
    <cellStyle name="Migliaia [0] 4" xfId="14"/>
    <cellStyle name="Migliaia 2" xfId="4"/>
    <cellStyle name="Migliaia 2 3" xfId="11"/>
    <cellStyle name="Migliaia 3" xfId="7"/>
    <cellStyle name="Migliaia 4" xfId="8"/>
    <cellStyle name="Migliaia 5" xfId="9"/>
    <cellStyle name="Migliaia 6" xfId="13"/>
    <cellStyle name="Normale" xfId="0" builtinId="0"/>
    <cellStyle name="Normale 2" xfId="3"/>
    <cellStyle name="Normale 3" xfId="12"/>
    <cellStyle name="Percentuale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407248</xdr:colOff>
      <xdr:row>41</xdr:row>
      <xdr:rowOff>365125</xdr:rowOff>
    </xdr:from>
    <xdr:to>
      <xdr:col>26</xdr:col>
      <xdr:colOff>423331</xdr:colOff>
      <xdr:row>45</xdr:row>
      <xdr:rowOff>470500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22657648" y="11126258"/>
          <a:ext cx="1844883" cy="26538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15</xdr:col>
      <xdr:colOff>620484</xdr:colOff>
      <xdr:row>44</xdr:row>
      <xdr:rowOff>537634</xdr:rowOff>
    </xdr:from>
    <xdr:to>
      <xdr:col>18</xdr:col>
      <xdr:colOff>270931</xdr:colOff>
      <xdr:row>47</xdr:row>
      <xdr:rowOff>296938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7071217" y="13212234"/>
          <a:ext cx="2080381" cy="11139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1257300</xdr:colOff>
      <xdr:row>34</xdr:row>
      <xdr:rowOff>9524</xdr:rowOff>
    </xdr:from>
    <xdr:to>
      <xdr:col>8</xdr:col>
      <xdr:colOff>863597</xdr:colOff>
      <xdr:row>43</xdr:row>
      <xdr:rowOff>47166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H="1" flipV="1">
          <a:off x="6354233" y="9060391"/>
          <a:ext cx="986364" cy="257764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6</xdr:col>
      <xdr:colOff>696684</xdr:colOff>
      <xdr:row>44</xdr:row>
      <xdr:rowOff>38100</xdr:rowOff>
    </xdr:from>
    <xdr:to>
      <xdr:col>8</xdr:col>
      <xdr:colOff>888999</xdr:colOff>
      <xdr:row>46</xdr:row>
      <xdr:rowOff>85271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H="1">
          <a:off x="5865584" y="12331700"/>
          <a:ext cx="1551215" cy="111397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545580" y="31242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6545580" y="9326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it-I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i\VERSAMENTI%20PREVIDENZ%20E%20IRAP%202008\vers%20feb%20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ERSONALE%202010\Documenti\CONTRATTAZIONE%202007\FONDO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b 08 sfb"/>
      <sheetName val="feb 08"/>
      <sheetName val="INPDAP def"/>
      <sheetName val="riep IRAP "/>
      <sheetName val="riep IRAP X TES"/>
      <sheetName val="RIEP CPDEL"/>
      <sheetName val="CPDEL X TES "/>
      <sheetName val="importaz"/>
      <sheetName val="riep irpef"/>
      <sheetName val="cpdel ruolo"/>
      <sheetName val="inadel"/>
      <sheetName val="irap"/>
      <sheetName val="riepilogo rev"/>
      <sheetName val="INPDAP def (2)"/>
      <sheetName val="riep IRAP (2)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tivi vv.uu."/>
      <sheetName val="ver perc spesa pers"/>
      <sheetName val="straord 06"/>
      <sheetName val="monta salari 2003"/>
      <sheetName val="monta salari 2005"/>
      <sheetName val="monta salari 2001"/>
      <sheetName val="monta salari 1997"/>
      <sheetName val="monta salari 1999"/>
      <sheetName val="indennità comparto"/>
      <sheetName val="PROGR.ORIZZ.2002-2005"/>
      <sheetName val="proiez PROGR.ORIZZ.2002-2005"/>
      <sheetName val="ripart.defin"/>
      <sheetName val="Foglio1"/>
      <sheetName val="ALL D.I. 392-07"/>
      <sheetName val="progr.orizz"/>
      <sheetName val="progr.orizz (2)"/>
      <sheetName val="ripart.cap retr."/>
      <sheetName val="proiez PROGR.ORIZZ.2002-200 (2)"/>
      <sheetName val="fondo 2007 provv"/>
      <sheetName val="quant.defin"/>
      <sheetName val="liquid"/>
      <sheetName val="produttività"/>
      <sheetName val="ripart.defin (3)"/>
      <sheetName val="ripart.defin (2)"/>
      <sheetName val="proiez PR.OR.SENZA D"/>
      <sheetName val="proiez PR.OR.NO PRIMA"/>
      <sheetName val="2 quant"/>
      <sheetName val="3 quant "/>
      <sheetName val="ipotesi (3)"/>
      <sheetName val="schema liq"/>
      <sheetName val="ripart provv accorp (2)"/>
      <sheetName val="turnaz vv"/>
      <sheetName val="ripart provv acco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2">
          <cell r="N42">
            <v>796.90999999999985</v>
          </cell>
        </row>
        <row r="43">
          <cell r="N43">
            <v>582.79</v>
          </cell>
        </row>
        <row r="44">
          <cell r="N44">
            <v>310.81</v>
          </cell>
        </row>
        <row r="45">
          <cell r="N45">
            <v>310.81</v>
          </cell>
        </row>
        <row r="46">
          <cell r="N46">
            <v>338.20000000000005</v>
          </cell>
        </row>
        <row r="47">
          <cell r="N47">
            <v>1126.2600000000002</v>
          </cell>
        </row>
        <row r="48">
          <cell r="N48">
            <v>582.79</v>
          </cell>
        </row>
        <row r="49">
          <cell r="N49">
            <v>796.90999999999985</v>
          </cell>
        </row>
        <row r="50">
          <cell r="N50">
            <v>701.45</v>
          </cell>
        </row>
        <row r="51">
          <cell r="N51">
            <v>796.90999999999985</v>
          </cell>
        </row>
        <row r="52">
          <cell r="N52">
            <v>362.69</v>
          </cell>
        </row>
        <row r="53">
          <cell r="N53">
            <v>362.69</v>
          </cell>
        </row>
        <row r="54">
          <cell r="N54">
            <v>796.90999999999985</v>
          </cell>
        </row>
        <row r="56">
          <cell r="N56">
            <v>362.69</v>
          </cell>
        </row>
        <row r="58">
          <cell r="N58">
            <v>310.81</v>
          </cell>
        </row>
        <row r="59">
          <cell r="N59">
            <v>554.26</v>
          </cell>
        </row>
        <row r="60">
          <cell r="N60">
            <v>1227.5299999999997</v>
          </cell>
        </row>
        <row r="61">
          <cell r="N61">
            <v>1227.5299999999997</v>
          </cell>
        </row>
        <row r="62">
          <cell r="N62">
            <v>1227.5299999999997</v>
          </cell>
        </row>
        <row r="63">
          <cell r="N63">
            <v>1227.5299999999997</v>
          </cell>
        </row>
        <row r="64">
          <cell r="N64">
            <v>502.35</v>
          </cell>
        </row>
        <row r="65">
          <cell r="N65">
            <v>1123.6099999999999</v>
          </cell>
        </row>
      </sheetData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queryTables/queryTable1.xml><?xml version="1.0" encoding="utf-8"?>
<queryTable xmlns="http://schemas.openxmlformats.org/spreadsheetml/2006/main" name="personale 200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68"/>
  <sheetViews>
    <sheetView tabSelected="1" topLeftCell="A51" zoomScale="90" zoomScaleNormal="90" workbookViewId="0">
      <selection activeCell="H65" sqref="H64:H65"/>
    </sheetView>
  </sheetViews>
  <sheetFormatPr defaultRowHeight="14.4"/>
  <cols>
    <col min="1" max="1" width="5.109375" customWidth="1"/>
    <col min="3" max="3" width="8.44140625" customWidth="1"/>
    <col min="4" max="4" width="36.6640625" customWidth="1"/>
    <col min="5" max="5" width="0.33203125" customWidth="1"/>
    <col min="6" max="6" width="14.33203125" customWidth="1"/>
    <col min="7" max="7" width="14.88671875" style="496" customWidth="1"/>
    <col min="8" max="8" width="14.44140625" style="428" customWidth="1"/>
    <col min="9" max="9" width="1.6640625" customWidth="1"/>
    <col min="10" max="10" width="15.109375" customWidth="1"/>
    <col min="11" max="11" width="47.33203125" customWidth="1"/>
    <col min="12" max="12" width="15.88671875" customWidth="1"/>
    <col min="13" max="13" width="14.5546875" customWidth="1"/>
    <col min="14" max="14" width="16.109375" customWidth="1"/>
    <col min="15" max="15" width="16.44140625" customWidth="1"/>
    <col min="16" max="16" width="11.33203125" customWidth="1"/>
    <col min="17" max="17" width="10.109375" bestFit="1" customWidth="1"/>
    <col min="18" max="18" width="13.88671875" customWidth="1"/>
    <col min="19" max="19" width="13.5546875" customWidth="1"/>
    <col min="28" max="28" width="9.33203125" bestFit="1" customWidth="1"/>
  </cols>
  <sheetData>
    <row r="1" spans="2:14" ht="17.25" customHeight="1">
      <c r="B1" s="806" t="s">
        <v>354</v>
      </c>
      <c r="C1" s="806"/>
      <c r="D1" s="806"/>
      <c r="E1" s="806"/>
      <c r="F1" s="806"/>
      <c r="G1" s="806"/>
      <c r="H1" s="806"/>
      <c r="I1" s="806"/>
      <c r="J1" s="806"/>
      <c r="K1" s="806"/>
      <c r="L1" s="806"/>
    </row>
    <row r="2" spans="2:14" ht="30.6" thickBot="1">
      <c r="B2" s="807" t="s">
        <v>113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</row>
    <row r="3" spans="2:14" ht="48.75" customHeight="1" thickBot="1">
      <c r="B3" s="808" t="s">
        <v>355</v>
      </c>
      <c r="C3" s="809"/>
      <c r="D3" s="809"/>
      <c r="E3" s="809"/>
      <c r="F3" s="809"/>
      <c r="G3" s="809"/>
      <c r="H3" s="809"/>
      <c r="I3" s="809"/>
      <c r="J3" s="809"/>
      <c r="K3" s="809"/>
      <c r="L3" s="810"/>
    </row>
    <row r="4" spans="2:14" ht="9" customHeight="1" thickBot="1">
      <c r="B4" s="6"/>
      <c r="C4" s="7"/>
      <c r="D4" s="7"/>
      <c r="E4" s="7"/>
      <c r="F4" s="7"/>
      <c r="G4" s="488"/>
      <c r="H4" s="512"/>
      <c r="I4" s="7"/>
      <c r="J4" s="7"/>
      <c r="K4" s="7"/>
      <c r="L4" s="7"/>
    </row>
    <row r="5" spans="2:14" ht="19.2" customHeight="1" thickBot="1">
      <c r="B5" s="811" t="s">
        <v>14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</row>
    <row r="6" spans="2:14" ht="15" thickBot="1">
      <c r="B6" s="529" t="s">
        <v>9</v>
      </c>
      <c r="C6" s="530"/>
      <c r="D6" s="530"/>
      <c r="E6" s="530"/>
      <c r="F6" s="530"/>
      <c r="G6" s="871" t="s">
        <v>371</v>
      </c>
      <c r="H6" s="871"/>
      <c r="I6" s="530"/>
      <c r="J6" s="586" t="s">
        <v>372</v>
      </c>
      <c r="K6" s="585"/>
      <c r="L6" s="530"/>
    </row>
    <row r="7" spans="2:14" ht="27.6" customHeight="1" thickBot="1">
      <c r="B7" s="813" t="s">
        <v>0</v>
      </c>
      <c r="C7" s="814"/>
      <c r="D7" s="814"/>
      <c r="E7" s="37" t="s">
        <v>6</v>
      </c>
      <c r="F7" s="38" t="s">
        <v>1</v>
      </c>
      <c r="G7" s="583" t="s">
        <v>348</v>
      </c>
      <c r="H7" s="584" t="s">
        <v>344</v>
      </c>
      <c r="I7" s="40"/>
      <c r="J7" s="815" t="s">
        <v>8</v>
      </c>
      <c r="K7" s="816"/>
      <c r="L7" s="817" t="s">
        <v>5</v>
      </c>
    </row>
    <row r="8" spans="2:14" ht="24" customHeight="1" thickBot="1">
      <c r="B8" s="819" t="s">
        <v>7</v>
      </c>
      <c r="C8" s="820"/>
      <c r="D8" s="820"/>
      <c r="E8" s="15"/>
      <c r="F8" s="525"/>
      <c r="G8" s="829">
        <f>F10+F11+F12+F13+F14+F15</f>
        <v>55764.2</v>
      </c>
      <c r="H8" s="486">
        <f>G8</f>
        <v>55764.2</v>
      </c>
      <c r="I8" s="8"/>
      <c r="J8" s="33" t="s">
        <v>4</v>
      </c>
      <c r="K8" s="96" t="s">
        <v>0</v>
      </c>
      <c r="L8" s="818"/>
    </row>
    <row r="9" spans="2:14" ht="33.75" customHeight="1">
      <c r="B9" s="42" t="s">
        <v>3</v>
      </c>
      <c r="C9" s="479"/>
      <c r="D9" s="480"/>
      <c r="E9" s="479"/>
      <c r="F9" s="16"/>
      <c r="G9" s="830"/>
      <c r="H9" s="486"/>
      <c r="I9" s="8"/>
      <c r="J9" s="328">
        <f>6900.99-310.81</f>
        <v>6590.1799999999994</v>
      </c>
      <c r="K9" s="570" t="s">
        <v>63</v>
      </c>
      <c r="L9" s="59"/>
      <c r="M9" s="99"/>
      <c r="N9" s="185"/>
    </row>
    <row r="10" spans="2:14" ht="35.25" customHeight="1">
      <c r="B10" s="832" t="s">
        <v>38</v>
      </c>
      <c r="C10" s="833"/>
      <c r="D10" s="834"/>
      <c r="E10" s="479"/>
      <c r="F10" s="320">
        <f>32000.42-1260.31</f>
        <v>30740.109999999997</v>
      </c>
      <c r="G10" s="830"/>
      <c r="H10" s="486"/>
      <c r="I10" s="43"/>
      <c r="J10" s="210">
        <f>47739.86-1383.61</f>
        <v>46356.25</v>
      </c>
      <c r="K10" s="571" t="s">
        <v>185</v>
      </c>
      <c r="L10" s="67"/>
      <c r="M10" s="245"/>
      <c r="N10" s="185"/>
    </row>
    <row r="11" spans="2:14" ht="13.2" customHeight="1">
      <c r="B11" s="832" t="s">
        <v>18</v>
      </c>
      <c r="C11" s="833"/>
      <c r="D11" s="834"/>
      <c r="E11" s="479"/>
      <c r="F11" s="320">
        <v>262.62</v>
      </c>
      <c r="G11" s="830"/>
      <c r="H11" s="486"/>
      <c r="I11" s="43"/>
      <c r="J11" s="243"/>
      <c r="K11" s="532"/>
      <c r="L11" s="67"/>
      <c r="M11" s="185"/>
      <c r="N11" s="185"/>
    </row>
    <row r="12" spans="2:14" ht="31.5" customHeight="1">
      <c r="B12" s="832" t="s">
        <v>356</v>
      </c>
      <c r="C12" s="833"/>
      <c r="D12" s="834"/>
      <c r="E12" s="479"/>
      <c r="F12" s="321">
        <v>10836.3</v>
      </c>
      <c r="G12" s="830"/>
      <c r="H12" s="486"/>
      <c r="I12" s="8"/>
      <c r="J12" s="210">
        <f>11233.34-426.96</f>
        <v>10806.380000000001</v>
      </c>
      <c r="K12" s="571" t="s">
        <v>186</v>
      </c>
      <c r="L12" s="67"/>
      <c r="M12" s="99"/>
      <c r="N12" s="185"/>
    </row>
    <row r="13" spans="2:14" ht="28.2" customHeight="1">
      <c r="B13" s="832" t="s">
        <v>21</v>
      </c>
      <c r="C13" s="833"/>
      <c r="D13" s="834"/>
      <c r="E13" s="479"/>
      <c r="F13" s="321">
        <v>2819.11</v>
      </c>
      <c r="G13" s="830"/>
      <c r="H13" s="486"/>
      <c r="I13" s="8"/>
      <c r="J13" s="329">
        <v>73.849999999999994</v>
      </c>
      <c r="K13" s="572" t="s">
        <v>31</v>
      </c>
      <c r="L13" s="67"/>
      <c r="M13" s="185"/>
      <c r="N13" s="185"/>
    </row>
    <row r="14" spans="2:14" ht="27" customHeight="1">
      <c r="B14" s="835" t="s">
        <v>327</v>
      </c>
      <c r="C14" s="836"/>
      <c r="D14" s="837"/>
      <c r="E14" s="47"/>
      <c r="F14" s="322">
        <v>6261.09</v>
      </c>
      <c r="G14" s="830"/>
      <c r="H14" s="486"/>
      <c r="I14" s="8"/>
      <c r="J14" s="210">
        <f>64.56*(6-1)</f>
        <v>322.8</v>
      </c>
      <c r="K14" s="573" t="s">
        <v>32</v>
      </c>
      <c r="L14" s="67"/>
      <c r="M14" s="100"/>
      <c r="N14" s="185"/>
    </row>
    <row r="15" spans="2:14" ht="16.2" customHeight="1">
      <c r="B15" s="838" t="s">
        <v>176</v>
      </c>
      <c r="C15" s="839"/>
      <c r="D15" s="840"/>
      <c r="E15" s="211"/>
      <c r="F15" s="323">
        <v>4844.97</v>
      </c>
      <c r="G15" s="830"/>
      <c r="H15" s="486"/>
      <c r="I15" s="8"/>
      <c r="J15" s="244"/>
      <c r="K15" s="90"/>
      <c r="L15" s="67"/>
    </row>
    <row r="16" spans="2:14" ht="24.6" customHeight="1">
      <c r="B16" s="841" t="s">
        <v>177</v>
      </c>
      <c r="C16" s="827"/>
      <c r="D16" s="828"/>
      <c r="E16" s="479"/>
      <c r="F16" s="17">
        <f>SUM(F10:F15)</f>
        <v>55764.2</v>
      </c>
      <c r="G16" s="831"/>
      <c r="H16" s="486"/>
      <c r="I16" s="8"/>
      <c r="J16" s="244"/>
      <c r="K16" s="90"/>
      <c r="L16" s="67"/>
    </row>
    <row r="17" spans="2:28" ht="13.2" customHeight="1">
      <c r="B17" s="478"/>
      <c r="C17" s="479"/>
      <c r="D17" s="479"/>
      <c r="E17" s="479"/>
      <c r="F17" s="13"/>
      <c r="G17" s="489"/>
      <c r="H17" s="486"/>
      <c r="I17" s="8"/>
      <c r="J17" s="244"/>
      <c r="K17" s="574"/>
      <c r="L17" s="67"/>
    </row>
    <row r="18" spans="2:28" ht="21" customHeight="1">
      <c r="B18" s="842" t="s">
        <v>178</v>
      </c>
      <c r="C18" s="843"/>
      <c r="D18" s="843"/>
      <c r="E18" s="21"/>
      <c r="F18" s="23"/>
      <c r="G18" s="490">
        <f>F19+F20</f>
        <v>6099.36</v>
      </c>
      <c r="H18" s="486">
        <f>G18</f>
        <v>6099.36</v>
      </c>
      <c r="I18" s="8"/>
      <c r="J18" s="244"/>
      <c r="K18" s="575"/>
      <c r="L18" s="67"/>
      <c r="AB18" s="1"/>
    </row>
    <row r="19" spans="2:28" ht="18" customHeight="1">
      <c r="B19" s="832" t="s">
        <v>326</v>
      </c>
      <c r="C19" s="833"/>
      <c r="D19" s="834"/>
      <c r="E19" s="479"/>
      <c r="F19" s="30">
        <v>3376.43</v>
      </c>
      <c r="G19" s="491"/>
      <c r="H19" s="486"/>
      <c r="I19" s="8"/>
      <c r="J19" s="244"/>
      <c r="K19" s="90"/>
      <c r="L19" s="67"/>
    </row>
    <row r="20" spans="2:28" ht="13.2" customHeight="1">
      <c r="B20" s="832" t="s">
        <v>325</v>
      </c>
      <c r="C20" s="833"/>
      <c r="D20" s="834"/>
      <c r="E20" s="479"/>
      <c r="F20" s="12">
        <v>2722.93</v>
      </c>
      <c r="G20" s="491"/>
      <c r="H20" s="486"/>
      <c r="I20" s="8"/>
      <c r="J20" s="244"/>
      <c r="K20" s="90"/>
      <c r="L20" s="67"/>
      <c r="M20" s="76"/>
      <c r="N20" s="76"/>
    </row>
    <row r="21" spans="2:28" ht="13.2" customHeight="1">
      <c r="B21" s="841" t="s">
        <v>17</v>
      </c>
      <c r="C21" s="827"/>
      <c r="D21" s="828"/>
      <c r="E21" s="482"/>
      <c r="F21" s="20">
        <f>SUM(F19:F20)</f>
        <v>6099.36</v>
      </c>
      <c r="G21" s="492"/>
      <c r="H21" s="486"/>
      <c r="I21" s="8"/>
      <c r="J21" s="244"/>
      <c r="K21" s="90"/>
      <c r="L21" s="67"/>
      <c r="M21" s="79"/>
      <c r="N21" s="76"/>
    </row>
    <row r="22" spans="2:28" ht="13.2" customHeight="1">
      <c r="B22" s="478"/>
      <c r="C22" s="479"/>
      <c r="D22" s="479"/>
      <c r="E22" s="479"/>
      <c r="F22" s="13"/>
      <c r="G22" s="493"/>
      <c r="H22" s="18"/>
      <c r="I22" s="8"/>
      <c r="J22" s="244"/>
      <c r="K22" s="90"/>
      <c r="L22" s="67"/>
      <c r="M22" s="79"/>
      <c r="N22" s="76"/>
    </row>
    <row r="23" spans="2:28" ht="13.2" customHeight="1">
      <c r="B23" s="844" t="s">
        <v>20</v>
      </c>
      <c r="C23" s="843"/>
      <c r="D23" s="843"/>
      <c r="E23" s="22"/>
      <c r="F23" s="23"/>
      <c r="G23" s="490">
        <f>F24</f>
        <v>2849.12</v>
      </c>
      <c r="H23" s="486">
        <f>G23</f>
        <v>2849.12</v>
      </c>
      <c r="I23" s="8"/>
      <c r="J23" s="244"/>
      <c r="K23" s="90"/>
      <c r="L23" s="67"/>
      <c r="M23" s="79"/>
      <c r="N23" s="76"/>
    </row>
    <row r="24" spans="2:28" ht="13.2" customHeight="1">
      <c r="B24" s="826" t="s">
        <v>328</v>
      </c>
      <c r="C24" s="827"/>
      <c r="D24" s="828"/>
      <c r="E24" s="50"/>
      <c r="F24" s="20">
        <v>2849.12</v>
      </c>
      <c r="G24" s="494"/>
      <c r="H24" s="487"/>
      <c r="I24" s="8"/>
      <c r="J24" s="244"/>
      <c r="K24" s="90"/>
      <c r="L24" s="69"/>
      <c r="M24" s="79"/>
      <c r="N24" s="76"/>
    </row>
    <row r="25" spans="2:28" ht="13.2" customHeight="1">
      <c r="B25" s="478"/>
      <c r="C25" s="479"/>
      <c r="D25" s="479"/>
      <c r="E25" s="479"/>
      <c r="F25" s="13"/>
      <c r="G25" s="493"/>
      <c r="H25" s="18"/>
      <c r="I25" s="8"/>
      <c r="J25" s="244"/>
      <c r="K25" s="90"/>
      <c r="L25" s="67"/>
      <c r="M25" s="79"/>
      <c r="N25" s="76"/>
    </row>
    <row r="26" spans="2:28" ht="27" customHeight="1">
      <c r="B26" s="853" t="s">
        <v>19</v>
      </c>
      <c r="C26" s="843"/>
      <c r="D26" s="843"/>
      <c r="E26" s="479"/>
      <c r="F26" s="23"/>
      <c r="G26" s="490">
        <f>F27</f>
        <v>3848.7</v>
      </c>
      <c r="H26" s="486">
        <f>G26</f>
        <v>3848.7</v>
      </c>
      <c r="I26" s="8"/>
      <c r="J26" s="244"/>
      <c r="K26" s="90"/>
      <c r="L26" s="67"/>
      <c r="M26" s="79"/>
      <c r="N26" s="76"/>
    </row>
    <row r="27" spans="2:28" ht="13.2" customHeight="1">
      <c r="B27" s="841" t="s">
        <v>329</v>
      </c>
      <c r="C27" s="827"/>
      <c r="D27" s="828"/>
      <c r="E27" s="479"/>
      <c r="F27" s="20">
        <v>3848.7</v>
      </c>
      <c r="G27" s="492"/>
      <c r="H27" s="486"/>
      <c r="I27" s="8"/>
      <c r="J27" s="244"/>
      <c r="K27" s="90"/>
      <c r="L27" s="67"/>
      <c r="M27" s="79"/>
      <c r="N27" s="76"/>
    </row>
    <row r="28" spans="2:28" ht="13.2" customHeight="1">
      <c r="B28" s="478"/>
      <c r="C28" s="479"/>
      <c r="D28" s="479"/>
      <c r="E28" s="479"/>
      <c r="F28" s="13"/>
      <c r="G28" s="493"/>
      <c r="H28" s="18"/>
      <c r="I28" s="8"/>
      <c r="J28" s="244"/>
      <c r="K28" s="90"/>
      <c r="L28" s="67"/>
      <c r="M28" s="79"/>
      <c r="N28" s="76"/>
    </row>
    <row r="29" spans="2:28" ht="23.4" customHeight="1">
      <c r="B29" s="853" t="s">
        <v>16</v>
      </c>
      <c r="C29" s="843"/>
      <c r="D29" s="843"/>
      <c r="E29" s="479"/>
      <c r="F29" s="23"/>
      <c r="G29" s="490">
        <f>F30</f>
        <v>5048.9400000000005</v>
      </c>
      <c r="H29" s="486">
        <f>G29</f>
        <v>5048.9400000000005</v>
      </c>
      <c r="I29" s="8"/>
      <c r="J29" s="244"/>
      <c r="K29" s="90"/>
      <c r="L29" s="67"/>
      <c r="M29" s="78"/>
      <c r="N29" s="76"/>
    </row>
    <row r="30" spans="2:28" ht="15" customHeight="1" thickBot="1">
      <c r="B30" s="841" t="s">
        <v>15</v>
      </c>
      <c r="C30" s="827"/>
      <c r="D30" s="827"/>
      <c r="E30" s="479"/>
      <c r="F30" s="20">
        <f>4479.02+569.92</f>
        <v>5048.9400000000005</v>
      </c>
      <c r="G30" s="492"/>
      <c r="H30" s="486"/>
      <c r="I30" s="8"/>
      <c r="J30" s="244"/>
      <c r="K30" s="576"/>
      <c r="L30" s="67"/>
      <c r="M30" s="79"/>
      <c r="N30" s="76"/>
    </row>
    <row r="31" spans="2:28" ht="15" customHeight="1">
      <c r="B31" s="854" t="s">
        <v>26</v>
      </c>
      <c r="C31" s="855"/>
      <c r="D31" s="855"/>
      <c r="E31" s="855"/>
      <c r="F31" s="856"/>
      <c r="G31" s="495">
        <f>G8+G18+G23+G26+G29</f>
        <v>73610.320000000007</v>
      </c>
      <c r="H31" s="513">
        <f>H8+H18+H23+H26+H29</f>
        <v>73610.320000000007</v>
      </c>
      <c r="I31" s="8"/>
      <c r="J31" s="345">
        <f>SUM(J9:J16)</f>
        <v>64149.46</v>
      </c>
      <c r="K31" s="97" t="s">
        <v>362</v>
      </c>
      <c r="L31" s="67"/>
      <c r="M31" s="83"/>
      <c r="N31" s="77"/>
    </row>
    <row r="32" spans="2:28" ht="24.6" customHeight="1" thickBot="1">
      <c r="B32" s="845" t="s">
        <v>323</v>
      </c>
      <c r="C32" s="846"/>
      <c r="D32" s="847"/>
      <c r="F32" s="33">
        <f>318.96-318.96</f>
        <v>0</v>
      </c>
      <c r="G32" s="526">
        <f>318.96-318.96</f>
        <v>0</v>
      </c>
      <c r="I32" s="65"/>
      <c r="J32" s="35"/>
      <c r="K32" s="183"/>
      <c r="L32" s="67"/>
      <c r="M32" s="46"/>
      <c r="N32" s="1"/>
    </row>
    <row r="33" spans="2:18" ht="36.6" customHeight="1" thickBot="1">
      <c r="B33" s="848" t="s">
        <v>179</v>
      </c>
      <c r="C33" s="849"/>
      <c r="D33" s="849"/>
      <c r="E33" s="849"/>
      <c r="F33" s="849"/>
      <c r="G33" s="536">
        <f>-ROUND(G31*4.35%,2)</f>
        <v>-3202.05</v>
      </c>
      <c r="H33" s="537">
        <f>G33</f>
        <v>-3202.05</v>
      </c>
      <c r="I33" s="61"/>
      <c r="J33" s="869">
        <f>H34-J31</f>
        <v>6258.8100000000049</v>
      </c>
      <c r="K33" s="867" t="s">
        <v>373</v>
      </c>
      <c r="L33" s="67"/>
      <c r="M33" s="84"/>
      <c r="N33" s="1"/>
      <c r="O33" s="4"/>
      <c r="Q33" s="1"/>
    </row>
    <row r="34" spans="2:18" ht="15" customHeight="1" thickBot="1">
      <c r="B34" s="824" t="s">
        <v>363</v>
      </c>
      <c r="C34" s="825"/>
      <c r="D34" s="825"/>
      <c r="E34" s="825"/>
      <c r="F34" s="825"/>
      <c r="G34" s="538">
        <f>G31+G33</f>
        <v>70408.27</v>
      </c>
      <c r="H34" s="547">
        <f>G34</f>
        <v>70408.27</v>
      </c>
      <c r="I34" s="8"/>
      <c r="J34" s="870"/>
      <c r="K34" s="868"/>
      <c r="L34" s="67"/>
      <c r="M34" s="3"/>
      <c r="O34" s="71"/>
      <c r="R34" s="1"/>
    </row>
    <row r="35" spans="2:18" ht="6" customHeight="1" thickBot="1">
      <c r="B35" s="479"/>
      <c r="C35" s="479"/>
      <c r="D35" s="479"/>
      <c r="E35" s="479"/>
      <c r="F35" s="13"/>
      <c r="G35" s="493"/>
      <c r="H35" s="18"/>
      <c r="I35" s="9"/>
      <c r="J35" s="35"/>
      <c r="K35" s="36"/>
      <c r="L35" s="67"/>
      <c r="N35" s="1"/>
      <c r="O35" s="4"/>
    </row>
    <row r="36" spans="2:18" ht="28.2" customHeight="1">
      <c r="B36" s="850" t="s">
        <v>10</v>
      </c>
      <c r="C36" s="851"/>
      <c r="D36" s="851"/>
      <c r="E36" s="851"/>
      <c r="F36" s="851"/>
      <c r="G36" s="852"/>
      <c r="H36" s="514"/>
      <c r="I36" s="9"/>
      <c r="J36" s="63"/>
      <c r="K36" s="64"/>
      <c r="L36" s="67"/>
      <c r="M36" s="1"/>
      <c r="O36" s="1"/>
    </row>
    <row r="37" spans="2:18" ht="13.2" customHeight="1">
      <c r="B37" s="481" t="s">
        <v>23</v>
      </c>
      <c r="C37" s="5"/>
      <c r="D37" s="5"/>
      <c r="E37" s="5"/>
      <c r="F37" s="5"/>
      <c r="G37" s="497"/>
      <c r="H37" s="515"/>
      <c r="I37" s="9"/>
      <c r="J37" s="35"/>
      <c r="K37" s="36"/>
      <c r="L37" s="67"/>
      <c r="O37" s="76"/>
    </row>
    <row r="38" spans="2:18" ht="15" customHeight="1">
      <c r="B38" s="821" t="s">
        <v>320</v>
      </c>
      <c r="C38" s="822"/>
      <c r="D38" s="823"/>
      <c r="E38" s="5"/>
      <c r="F38" s="45">
        <v>6505.64</v>
      </c>
      <c r="G38" s="497"/>
      <c r="H38" s="516">
        <f>F38</f>
        <v>6505.64</v>
      </c>
      <c r="I38" s="9"/>
      <c r="J38" s="35"/>
      <c r="K38" s="183"/>
      <c r="L38" s="67"/>
      <c r="O38" s="77"/>
    </row>
    <row r="39" spans="2:18" ht="30.6" customHeight="1">
      <c r="B39" s="821" t="s">
        <v>180</v>
      </c>
      <c r="C39" s="822"/>
      <c r="D39" s="823"/>
      <c r="E39" s="5"/>
      <c r="F39" s="45">
        <v>20000</v>
      </c>
      <c r="G39" s="497"/>
      <c r="H39" s="516">
        <f>F39</f>
        <v>20000</v>
      </c>
      <c r="I39" s="9"/>
      <c r="J39" s="35"/>
      <c r="K39" s="1"/>
      <c r="L39" s="67"/>
      <c r="O39" s="77"/>
    </row>
    <row r="40" spans="2:18" ht="16.2" customHeight="1">
      <c r="B40" s="821" t="s">
        <v>346</v>
      </c>
      <c r="C40" s="822"/>
      <c r="D40" s="823"/>
      <c r="E40" s="185"/>
      <c r="F40" s="45">
        <v>0</v>
      </c>
      <c r="G40" s="498"/>
      <c r="H40" s="517">
        <f>F40</f>
        <v>0</v>
      </c>
      <c r="I40" s="9"/>
      <c r="L40" s="67"/>
      <c r="M40" s="76"/>
      <c r="O40" s="77"/>
    </row>
    <row r="41" spans="2:18" ht="15" customHeight="1">
      <c r="B41" s="481" t="s">
        <v>36</v>
      </c>
      <c r="C41" s="5"/>
      <c r="D41" s="5"/>
      <c r="E41" s="5"/>
      <c r="F41" s="5"/>
      <c r="G41" s="497"/>
      <c r="H41" s="515"/>
      <c r="I41" s="9"/>
      <c r="J41" s="35"/>
      <c r="K41" s="183"/>
      <c r="L41" s="67"/>
      <c r="M41" s="77"/>
      <c r="N41" s="76"/>
      <c r="O41" s="76"/>
    </row>
    <row r="42" spans="2:18" ht="45.75" customHeight="1">
      <c r="B42" s="821" t="s">
        <v>347</v>
      </c>
      <c r="C42" s="822"/>
      <c r="D42" s="823"/>
      <c r="E42" s="5"/>
      <c r="F42" s="509">
        <v>1740.45</v>
      </c>
      <c r="G42" s="535" t="s">
        <v>349</v>
      </c>
      <c r="H42" s="485">
        <f>F42-1740.45</f>
        <v>0</v>
      </c>
      <c r="I42" s="9"/>
      <c r="J42" s="35"/>
      <c r="K42" s="183"/>
      <c r="L42" s="67"/>
      <c r="M42" s="77"/>
      <c r="N42" s="76"/>
      <c r="O42" s="76"/>
    </row>
    <row r="43" spans="2:18" ht="53.25" customHeight="1">
      <c r="B43" s="821" t="s">
        <v>435</v>
      </c>
      <c r="C43" s="822"/>
      <c r="D43" s="823"/>
      <c r="E43" s="5"/>
      <c r="F43" s="510">
        <v>18825.3</v>
      </c>
      <c r="G43" s="535" t="s">
        <v>357</v>
      </c>
      <c r="H43" s="485">
        <f>11177.33</f>
        <v>11177.33</v>
      </c>
      <c r="I43" s="9"/>
      <c r="J43" s="35"/>
      <c r="K43" s="1"/>
      <c r="L43" s="67"/>
      <c r="M43" s="184"/>
      <c r="O43" s="76"/>
    </row>
    <row r="44" spans="2:18" ht="35.4" customHeight="1">
      <c r="B44" s="821" t="s">
        <v>345</v>
      </c>
      <c r="C44" s="822"/>
      <c r="D44" s="823"/>
      <c r="E44" s="5"/>
      <c r="F44" s="510">
        <v>3000</v>
      </c>
      <c r="G44" s="535" t="s">
        <v>349</v>
      </c>
      <c r="H44" s="485">
        <f>F44-3000</f>
        <v>0</v>
      </c>
      <c r="I44" s="9"/>
      <c r="J44" s="35"/>
      <c r="K44" s="183"/>
      <c r="L44" s="67"/>
      <c r="M44" s="1"/>
      <c r="N44" s="1"/>
    </row>
    <row r="45" spans="2:18" ht="32.25" customHeight="1" thickBot="1">
      <c r="B45" s="876" t="s">
        <v>364</v>
      </c>
      <c r="C45" s="877"/>
      <c r="D45" s="878"/>
      <c r="E45" s="5"/>
      <c r="F45" s="511">
        <f>SUM(F38:F44)</f>
        <v>50071.39</v>
      </c>
      <c r="G45" s="499">
        <f>F45</f>
        <v>50071.39</v>
      </c>
      <c r="H45" s="516">
        <f>SUM(H38:H44)</f>
        <v>37682.97</v>
      </c>
      <c r="I45" s="9"/>
      <c r="L45" s="67"/>
      <c r="N45" s="1"/>
    </row>
    <row r="46" spans="2:18" ht="52.5" customHeight="1" thickBot="1">
      <c r="B46" s="879" t="s">
        <v>358</v>
      </c>
      <c r="C46" s="880"/>
      <c r="D46" s="880"/>
      <c r="E46" s="880"/>
      <c r="F46" s="880"/>
      <c r="G46" s="500">
        <f>-ROUND((F38+F39+F42)*4.35%,2)</f>
        <v>-1228.7</v>
      </c>
      <c r="H46" s="540">
        <f>-ROUND((H38+H39+H42)*4.35%,2)</f>
        <v>-1153</v>
      </c>
      <c r="I46" s="9"/>
      <c r="J46" s="557"/>
      <c r="K46" s="78"/>
      <c r="L46" s="67"/>
    </row>
    <row r="47" spans="2:18" ht="32.25" customHeight="1" thickBot="1">
      <c r="B47" s="885" t="s">
        <v>365</v>
      </c>
      <c r="C47" s="886"/>
      <c r="D47" s="886"/>
      <c r="E47" s="886"/>
      <c r="F47" s="887"/>
      <c r="G47" s="538">
        <f>G45+G46</f>
        <v>48842.69</v>
      </c>
      <c r="H47" s="539">
        <f>H45+H46</f>
        <v>36529.97</v>
      </c>
      <c r="I47" s="9"/>
      <c r="J47" s="589">
        <f>H38+H39+H40+H46</f>
        <v>25352.639999999999</v>
      </c>
      <c r="K47" s="508" t="s">
        <v>433</v>
      </c>
      <c r="L47" s="577"/>
    </row>
    <row r="48" spans="2:18" ht="37.5" customHeight="1" thickBot="1">
      <c r="B48" s="876" t="s">
        <v>27</v>
      </c>
      <c r="C48" s="877"/>
      <c r="D48" s="878"/>
      <c r="E48" s="252"/>
      <c r="F48" s="523" t="s">
        <v>350</v>
      </c>
      <c r="G48" s="501">
        <f>G31+G45</f>
        <v>123681.71</v>
      </c>
      <c r="H48" s="501">
        <f>H31+H45</f>
        <v>111293.29000000001</v>
      </c>
      <c r="I48" s="9"/>
      <c r="K48" s="36"/>
      <c r="L48" s="578"/>
      <c r="M48" s="1"/>
    </row>
    <row r="49" spans="2:20" ht="32.4" customHeight="1" thickBot="1">
      <c r="B49" s="336" t="s">
        <v>119</v>
      </c>
      <c r="C49" s="337"/>
      <c r="D49" s="337"/>
      <c r="E49" s="338"/>
      <c r="F49" s="338"/>
      <c r="G49" s="502">
        <f>+G33+G46</f>
        <v>-4430.75</v>
      </c>
      <c r="H49" s="502">
        <f>+H33+H46</f>
        <v>-4355.05</v>
      </c>
      <c r="I49" s="9"/>
      <c r="J49" s="346">
        <f>J33+J47</f>
        <v>31611.450000000004</v>
      </c>
      <c r="K49" s="524" t="s">
        <v>351</v>
      </c>
      <c r="L49" s="579" t="s">
        <v>24</v>
      </c>
      <c r="M49" s="1"/>
    </row>
    <row r="50" spans="2:20" ht="23.25" customHeight="1" thickBot="1">
      <c r="B50" s="881" t="s">
        <v>120</v>
      </c>
      <c r="C50" s="882"/>
      <c r="D50" s="882"/>
      <c r="E50" s="882"/>
      <c r="F50" s="882"/>
      <c r="G50" s="545">
        <f>G48+G49</f>
        <v>119250.96</v>
      </c>
      <c r="H50" s="546">
        <f>H34+H47</f>
        <v>106938.24000000001</v>
      </c>
      <c r="I50" s="57"/>
      <c r="J50" s="54">
        <v>31535.75</v>
      </c>
      <c r="K50" s="558" t="s">
        <v>374</v>
      </c>
      <c r="L50" s="580" t="s">
        <v>369</v>
      </c>
    </row>
    <row r="51" spans="2:20" ht="4.5" customHeight="1" thickBot="1">
      <c r="B51" s="527"/>
      <c r="C51" s="528"/>
      <c r="D51" s="528"/>
      <c r="E51" s="550"/>
      <c r="F51" s="528"/>
      <c r="G51" s="528"/>
      <c r="H51" s="249"/>
      <c r="I51" s="57"/>
      <c r="J51" s="551"/>
      <c r="K51" s="552"/>
      <c r="L51" s="581"/>
    </row>
    <row r="52" spans="2:20" ht="26.25" customHeight="1" thickBot="1">
      <c r="B52" s="888" t="s">
        <v>361</v>
      </c>
      <c r="C52" s="889"/>
      <c r="D52" s="890"/>
      <c r="E52" s="548"/>
      <c r="F52" s="549" t="s">
        <v>34</v>
      </c>
      <c r="G52" s="553" t="s">
        <v>35</v>
      </c>
      <c r="H52" s="556" t="s">
        <v>367</v>
      </c>
      <c r="I52" s="57"/>
      <c r="J52" s="55">
        <f>J49-J50</f>
        <v>75.700000000004366</v>
      </c>
      <c r="K52" s="558" t="s">
        <v>434</v>
      </c>
      <c r="L52" s="582" t="s">
        <v>370</v>
      </c>
    </row>
    <row r="53" spans="2:20" ht="13.95" customHeight="1" thickBot="1">
      <c r="B53" s="883" t="s">
        <v>12</v>
      </c>
      <c r="C53" s="884"/>
      <c r="D53" s="884"/>
      <c r="E53" s="5"/>
      <c r="F53" s="103">
        <v>119299</v>
      </c>
      <c r="G53" s="554">
        <f>F53</f>
        <v>119299</v>
      </c>
      <c r="H53" s="555">
        <f>H50-G57</f>
        <v>-621.63999999999942</v>
      </c>
      <c r="I53" s="57"/>
      <c r="J53" s="35">
        <f>J49-J50-J52</f>
        <v>0</v>
      </c>
      <c r="K53" s="36"/>
    </row>
    <row r="54" spans="2:20" ht="45" customHeight="1" thickBot="1">
      <c r="B54" s="865" t="s">
        <v>359</v>
      </c>
      <c r="C54" s="866"/>
      <c r="D54" s="866"/>
      <c r="E54" s="5"/>
      <c r="F54" s="104">
        <f>-13446.95-3374-1740.45</f>
        <v>-18561.400000000001</v>
      </c>
      <c r="G54" s="541">
        <f>-13446.95-3374-1740.45</f>
        <v>-18561.400000000001</v>
      </c>
      <c r="H54" s="484"/>
      <c r="I54" s="5"/>
      <c r="J54" s="568">
        <f>H43</f>
        <v>11177.33</v>
      </c>
      <c r="K54" s="569" t="str">
        <f>B43</f>
        <v>Incentivi per la progettazione ex art. 92 cc5 e 6 del D.Lgs 163/2006 ed ex L. 109/94  - (art. 15 c 1 lett. k) - non assoggettate a vincoli ex art. 9 c.bis L:162/10 e ss.mm. (€18.825,30:su previsioni iniziali di bilancio: (SOMME ACC/UTILIZZATE su cap.96/s:Euro11.177,33)</v>
      </c>
    </row>
    <row r="55" spans="2:20" ht="45.6" customHeight="1" thickBot="1">
      <c r="B55" s="865" t="s">
        <v>360</v>
      </c>
      <c r="C55" s="866"/>
      <c r="D55" s="866"/>
      <c r="E55" s="5"/>
      <c r="F55" s="104">
        <f>F42+F43+F44</f>
        <v>23565.75</v>
      </c>
      <c r="G55" s="108">
        <f>H42+H43+H44</f>
        <v>11177.33</v>
      </c>
      <c r="H55" s="515"/>
      <c r="I55" s="5"/>
      <c r="J55" s="186"/>
      <c r="K55" s="567"/>
      <c r="L55" s="559"/>
      <c r="M55" s="559"/>
      <c r="N55" s="352"/>
      <c r="O55" s="862"/>
    </row>
    <row r="56" spans="2:20" ht="28.2" customHeight="1" thickBot="1">
      <c r="B56" s="863" t="s">
        <v>13</v>
      </c>
      <c r="C56" s="864"/>
      <c r="D56" s="864"/>
      <c r="E56" s="5"/>
      <c r="F56" s="110">
        <f>F53+F54+F55</f>
        <v>124303.35</v>
      </c>
      <c r="G56" s="542">
        <f>G53+G54+G55</f>
        <v>111914.93000000001</v>
      </c>
      <c r="H56" s="186">
        <f>G45-H45</f>
        <v>12388.419999999998</v>
      </c>
      <c r="I56" s="5"/>
      <c r="J56" s="186"/>
      <c r="K56" s="567"/>
      <c r="L56" s="561"/>
      <c r="M56" s="562"/>
      <c r="N56" s="533"/>
      <c r="O56" s="862"/>
    </row>
    <row r="57" spans="2:20" ht="29.25" customHeight="1" thickBot="1">
      <c r="B57" s="872" t="s">
        <v>366</v>
      </c>
      <c r="C57" s="873"/>
      <c r="D57" s="874"/>
      <c r="E57" s="5"/>
      <c r="F57" s="543">
        <f>F56+G49</f>
        <v>119872.6</v>
      </c>
      <c r="G57" s="544">
        <f>G56+H49</f>
        <v>107559.88</v>
      </c>
      <c r="H57" s="544">
        <f>H50</f>
        <v>106938.24000000001</v>
      </c>
      <c r="I57" s="5"/>
      <c r="J57" s="544">
        <f>J31+J49+J54</f>
        <v>106938.24000000001</v>
      </c>
      <c r="K57" s="74" t="s">
        <v>431</v>
      </c>
      <c r="L57" s="561"/>
      <c r="M57" s="562"/>
      <c r="N57" s="353"/>
      <c r="O57" s="477"/>
    </row>
    <row r="58" spans="2:20" ht="72.75" customHeight="1" thickBot="1">
      <c r="B58" s="859" t="s">
        <v>368</v>
      </c>
      <c r="C58" s="860"/>
      <c r="D58" s="860"/>
      <c r="E58" s="860"/>
      <c r="F58" s="860"/>
      <c r="G58" s="861"/>
      <c r="H58" s="518"/>
      <c r="I58" s="5"/>
      <c r="J58" s="35"/>
      <c r="K58" s="563"/>
      <c r="L58" s="564"/>
      <c r="M58" s="565"/>
      <c r="N58" s="355"/>
      <c r="O58" s="356"/>
    </row>
    <row r="59" spans="2:20" ht="17.25" customHeight="1">
      <c r="B59" s="74"/>
      <c r="C59" s="74"/>
      <c r="D59" s="74"/>
      <c r="E59" s="74"/>
      <c r="F59" s="74"/>
      <c r="G59" s="503"/>
      <c r="H59" s="485"/>
      <c r="I59" s="5"/>
      <c r="J59" s="35"/>
      <c r="K59" s="185"/>
      <c r="L59" s="560"/>
      <c r="M59" s="353"/>
      <c r="N59" s="566"/>
    </row>
    <row r="60" spans="2:20" s="185" customFormat="1">
      <c r="B60" s="79"/>
      <c r="C60" s="79"/>
      <c r="D60" s="123" t="s">
        <v>28</v>
      </c>
      <c r="E60" s="124"/>
      <c r="F60" s="124"/>
      <c r="G60" s="504" t="s">
        <v>29</v>
      </c>
      <c r="H60" s="519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2:20" s="185" customFormat="1">
      <c r="B61" s="79"/>
      <c r="C61" s="79"/>
      <c r="D61"/>
      <c r="E61" s="81"/>
      <c r="F61" s="433"/>
      <c r="G61" s="496"/>
      <c r="H61" s="428"/>
      <c r="I61" s="81"/>
      <c r="J61" s="81"/>
      <c r="K61" s="81"/>
      <c r="L61" s="81"/>
      <c r="M61" s="875"/>
      <c r="N61" s="875"/>
      <c r="O61" s="85"/>
      <c r="P61" s="87"/>
      <c r="Q61" s="81"/>
      <c r="R61" s="81"/>
      <c r="S61" s="85"/>
      <c r="T61" s="86"/>
    </row>
    <row r="62" spans="2:20" s="185" customFormat="1">
      <c r="B62" s="79"/>
      <c r="C62" s="79"/>
      <c r="D62" s="81"/>
      <c r="E62" s="81"/>
      <c r="F62" s="434"/>
      <c r="G62" s="505"/>
      <c r="H62" s="520"/>
      <c r="I62" s="81"/>
      <c r="J62" s="81"/>
      <c r="K62" s="81"/>
      <c r="L62" s="81"/>
      <c r="M62" s="857"/>
      <c r="N62" s="857"/>
      <c r="O62" s="85"/>
      <c r="P62" s="858"/>
      <c r="Q62" s="858"/>
      <c r="R62" s="81"/>
      <c r="S62" s="85"/>
      <c r="T62" s="81"/>
    </row>
    <row r="63" spans="2:20" s="185" customFormat="1" ht="15.75" customHeight="1">
      <c r="B63" s="79"/>
      <c r="C63" s="79"/>
      <c r="D63" s="79"/>
      <c r="E63" s="79"/>
      <c r="F63" s="88"/>
      <c r="G63" s="505"/>
      <c r="H63" s="520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</row>
    <row r="64" spans="2:20" s="185" customFormat="1" ht="15.75" customHeight="1">
      <c r="B64" s="79"/>
      <c r="C64" s="79"/>
      <c r="D64" s="82"/>
      <c r="E64" s="79"/>
      <c r="F64" s="79"/>
      <c r="G64" s="506"/>
      <c r="H64" s="521"/>
      <c r="I64" s="79"/>
      <c r="J64" s="79"/>
      <c r="K64" s="79"/>
      <c r="L64" s="88"/>
      <c r="M64" s="79"/>
      <c r="N64" s="79"/>
      <c r="O64" s="79"/>
      <c r="P64" s="79"/>
      <c r="Q64" s="79"/>
      <c r="R64" s="79"/>
      <c r="S64" s="79"/>
      <c r="T64" s="79"/>
    </row>
    <row r="65" spans="2:20">
      <c r="B65" s="76"/>
      <c r="C65" s="76"/>
      <c r="D65" s="76"/>
      <c r="E65" s="76"/>
      <c r="F65" s="76"/>
      <c r="G65" s="507"/>
      <c r="H65" s="522"/>
      <c r="I65" s="76"/>
      <c r="J65" s="76"/>
      <c r="K65" s="76"/>
      <c r="L65" s="80"/>
      <c r="M65" s="76"/>
      <c r="N65" s="76"/>
      <c r="O65" s="76"/>
      <c r="P65" s="76"/>
      <c r="Q65" s="76"/>
      <c r="R65" s="76"/>
      <c r="S65" s="76"/>
      <c r="T65" s="76"/>
    </row>
    <row r="66" spans="2:20">
      <c r="B66" s="76"/>
      <c r="C66" s="76"/>
      <c r="D66" s="76"/>
      <c r="E66" s="76"/>
      <c r="F66" s="76"/>
      <c r="G66" s="507"/>
      <c r="H66" s="522"/>
      <c r="I66" s="76"/>
      <c r="J66" s="76"/>
      <c r="K66" s="76"/>
      <c r="L66" s="80"/>
      <c r="M66" s="76"/>
      <c r="N66" s="76"/>
      <c r="O66" s="76"/>
      <c r="P66" s="76"/>
      <c r="Q66" s="76"/>
      <c r="R66" s="76"/>
      <c r="S66" s="76"/>
      <c r="T66" s="76"/>
    </row>
    <row r="67" spans="2:20">
      <c r="B67" s="76"/>
      <c r="C67" s="76"/>
      <c r="E67" s="80"/>
      <c r="F67" s="76"/>
      <c r="G67" s="507"/>
      <c r="H67" s="522"/>
      <c r="I67" s="76"/>
      <c r="K67" s="76"/>
      <c r="L67" s="76"/>
      <c r="M67" s="76"/>
      <c r="N67" s="76"/>
      <c r="O67" s="76"/>
      <c r="P67" s="76"/>
      <c r="Q67" s="76"/>
      <c r="R67" s="76"/>
      <c r="S67" s="76"/>
      <c r="T67" s="76"/>
    </row>
    <row r="68" spans="2:20">
      <c r="E68" s="51"/>
    </row>
  </sheetData>
  <mergeCells count="56">
    <mergeCell ref="K33:K34"/>
    <mergeCell ref="J33:J34"/>
    <mergeCell ref="G6:H6"/>
    <mergeCell ref="B57:D57"/>
    <mergeCell ref="M61:N61"/>
    <mergeCell ref="B43:D43"/>
    <mergeCell ref="B44:D44"/>
    <mergeCell ref="B45:D45"/>
    <mergeCell ref="B46:F46"/>
    <mergeCell ref="B48:D48"/>
    <mergeCell ref="B50:F50"/>
    <mergeCell ref="B53:D53"/>
    <mergeCell ref="B54:D54"/>
    <mergeCell ref="B47:F47"/>
    <mergeCell ref="B52:D52"/>
    <mergeCell ref="B42:D42"/>
    <mergeCell ref="M62:N62"/>
    <mergeCell ref="P62:Q62"/>
    <mergeCell ref="B58:G58"/>
    <mergeCell ref="O55:O56"/>
    <mergeCell ref="B56:D56"/>
    <mergeCell ref="B55:D55"/>
    <mergeCell ref="B26:D26"/>
    <mergeCell ref="B27:D27"/>
    <mergeCell ref="B29:D29"/>
    <mergeCell ref="B30:D30"/>
    <mergeCell ref="B31:F31"/>
    <mergeCell ref="B32:D32"/>
    <mergeCell ref="B33:F33"/>
    <mergeCell ref="B36:G36"/>
    <mergeCell ref="B38:D38"/>
    <mergeCell ref="B39:D39"/>
    <mergeCell ref="B40:D40"/>
    <mergeCell ref="B34:F34"/>
    <mergeCell ref="B24:D24"/>
    <mergeCell ref="G8:G16"/>
    <mergeCell ref="B10:D10"/>
    <mergeCell ref="B11:D11"/>
    <mergeCell ref="B12:D12"/>
    <mergeCell ref="B13:D13"/>
    <mergeCell ref="B14:D14"/>
    <mergeCell ref="B15:D15"/>
    <mergeCell ref="B16:D16"/>
    <mergeCell ref="B18:D18"/>
    <mergeCell ref="B19:D19"/>
    <mergeCell ref="B20:D20"/>
    <mergeCell ref="B21:D21"/>
    <mergeCell ref="B23:D23"/>
    <mergeCell ref="B1:L1"/>
    <mergeCell ref="B2:L2"/>
    <mergeCell ref="B3:L3"/>
    <mergeCell ref="B5:L5"/>
    <mergeCell ref="B7:D7"/>
    <mergeCell ref="J7:K7"/>
    <mergeCell ref="L7:L8"/>
    <mergeCell ref="B8:D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oglio4"/>
  <dimension ref="A1:G44"/>
  <sheetViews>
    <sheetView topLeftCell="A16" workbookViewId="0">
      <selection activeCell="D39" sqref="D39"/>
    </sheetView>
  </sheetViews>
  <sheetFormatPr defaultRowHeight="13.2"/>
  <cols>
    <col min="1" max="1" width="8.88671875" style="359"/>
    <col min="2" max="2" width="7.33203125" style="359" customWidth="1"/>
    <col min="3" max="3" width="8.88671875" style="359"/>
    <col min="4" max="4" width="11.33203125" style="359" bestFit="1" customWidth="1"/>
    <col min="5" max="5" width="9.33203125" style="359" bestFit="1" customWidth="1"/>
    <col min="6" max="257" width="8.88671875" style="359"/>
    <col min="258" max="258" width="7.33203125" style="359" customWidth="1"/>
    <col min="259" max="259" width="8.88671875" style="359"/>
    <col min="260" max="260" width="11.33203125" style="359" bestFit="1" customWidth="1"/>
    <col min="261" max="261" width="9.33203125" style="359" bestFit="1" customWidth="1"/>
    <col min="262" max="513" width="8.88671875" style="359"/>
    <col min="514" max="514" width="7.33203125" style="359" customWidth="1"/>
    <col min="515" max="515" width="8.88671875" style="359"/>
    <col min="516" max="516" width="11.33203125" style="359" bestFit="1" customWidth="1"/>
    <col min="517" max="517" width="9.33203125" style="359" bestFit="1" customWidth="1"/>
    <col min="518" max="769" width="8.88671875" style="359"/>
    <col min="770" max="770" width="7.33203125" style="359" customWidth="1"/>
    <col min="771" max="771" width="8.88671875" style="359"/>
    <col min="772" max="772" width="11.33203125" style="359" bestFit="1" customWidth="1"/>
    <col min="773" max="773" width="9.33203125" style="359" bestFit="1" customWidth="1"/>
    <col min="774" max="1025" width="8.88671875" style="359"/>
    <col min="1026" max="1026" width="7.33203125" style="359" customWidth="1"/>
    <col min="1027" max="1027" width="8.88671875" style="359"/>
    <col min="1028" max="1028" width="11.33203125" style="359" bestFit="1" customWidth="1"/>
    <col min="1029" max="1029" width="9.33203125" style="359" bestFit="1" customWidth="1"/>
    <col min="1030" max="1281" width="8.88671875" style="359"/>
    <col min="1282" max="1282" width="7.33203125" style="359" customWidth="1"/>
    <col min="1283" max="1283" width="8.88671875" style="359"/>
    <col min="1284" max="1284" width="11.33203125" style="359" bestFit="1" customWidth="1"/>
    <col min="1285" max="1285" width="9.33203125" style="359" bestFit="1" customWidth="1"/>
    <col min="1286" max="1537" width="8.88671875" style="359"/>
    <col min="1538" max="1538" width="7.33203125" style="359" customWidth="1"/>
    <col min="1539" max="1539" width="8.88671875" style="359"/>
    <col min="1540" max="1540" width="11.33203125" style="359" bestFit="1" customWidth="1"/>
    <col min="1541" max="1541" width="9.33203125" style="359" bestFit="1" customWidth="1"/>
    <col min="1542" max="1793" width="8.88671875" style="359"/>
    <col min="1794" max="1794" width="7.33203125" style="359" customWidth="1"/>
    <col min="1795" max="1795" width="8.88671875" style="359"/>
    <col min="1796" max="1796" width="11.33203125" style="359" bestFit="1" customWidth="1"/>
    <col min="1797" max="1797" width="9.33203125" style="359" bestFit="1" customWidth="1"/>
    <col min="1798" max="2049" width="8.88671875" style="359"/>
    <col min="2050" max="2050" width="7.33203125" style="359" customWidth="1"/>
    <col min="2051" max="2051" width="8.88671875" style="359"/>
    <col min="2052" max="2052" width="11.33203125" style="359" bestFit="1" customWidth="1"/>
    <col min="2053" max="2053" width="9.33203125" style="359" bestFit="1" customWidth="1"/>
    <col min="2054" max="2305" width="8.88671875" style="359"/>
    <col min="2306" max="2306" width="7.33203125" style="359" customWidth="1"/>
    <col min="2307" max="2307" width="8.88671875" style="359"/>
    <col min="2308" max="2308" width="11.33203125" style="359" bestFit="1" customWidth="1"/>
    <col min="2309" max="2309" width="9.33203125" style="359" bestFit="1" customWidth="1"/>
    <col min="2310" max="2561" width="8.88671875" style="359"/>
    <col min="2562" max="2562" width="7.33203125" style="359" customWidth="1"/>
    <col min="2563" max="2563" width="8.88671875" style="359"/>
    <col min="2564" max="2564" width="11.33203125" style="359" bestFit="1" customWidth="1"/>
    <col min="2565" max="2565" width="9.33203125" style="359" bestFit="1" customWidth="1"/>
    <col min="2566" max="2817" width="8.88671875" style="359"/>
    <col min="2818" max="2818" width="7.33203125" style="359" customWidth="1"/>
    <col min="2819" max="2819" width="8.88671875" style="359"/>
    <col min="2820" max="2820" width="11.33203125" style="359" bestFit="1" customWidth="1"/>
    <col min="2821" max="2821" width="9.33203125" style="359" bestFit="1" customWidth="1"/>
    <col min="2822" max="3073" width="8.88671875" style="359"/>
    <col min="3074" max="3074" width="7.33203125" style="359" customWidth="1"/>
    <col min="3075" max="3075" width="8.88671875" style="359"/>
    <col min="3076" max="3076" width="11.33203125" style="359" bestFit="1" customWidth="1"/>
    <col min="3077" max="3077" width="9.33203125" style="359" bestFit="1" customWidth="1"/>
    <col min="3078" max="3329" width="8.88671875" style="359"/>
    <col min="3330" max="3330" width="7.33203125" style="359" customWidth="1"/>
    <col min="3331" max="3331" width="8.88671875" style="359"/>
    <col min="3332" max="3332" width="11.33203125" style="359" bestFit="1" customWidth="1"/>
    <col min="3333" max="3333" width="9.33203125" style="359" bestFit="1" customWidth="1"/>
    <col min="3334" max="3585" width="8.88671875" style="359"/>
    <col min="3586" max="3586" width="7.33203125" style="359" customWidth="1"/>
    <col min="3587" max="3587" width="8.88671875" style="359"/>
    <col min="3588" max="3588" width="11.33203125" style="359" bestFit="1" customWidth="1"/>
    <col min="3589" max="3589" width="9.33203125" style="359" bestFit="1" customWidth="1"/>
    <col min="3590" max="3841" width="8.88671875" style="359"/>
    <col min="3842" max="3842" width="7.33203125" style="359" customWidth="1"/>
    <col min="3843" max="3843" width="8.88671875" style="359"/>
    <col min="3844" max="3844" width="11.33203125" style="359" bestFit="1" customWidth="1"/>
    <col min="3845" max="3845" width="9.33203125" style="359" bestFit="1" customWidth="1"/>
    <col min="3846" max="4097" width="8.88671875" style="359"/>
    <col min="4098" max="4098" width="7.33203125" style="359" customWidth="1"/>
    <col min="4099" max="4099" width="8.88671875" style="359"/>
    <col min="4100" max="4100" width="11.33203125" style="359" bestFit="1" customWidth="1"/>
    <col min="4101" max="4101" width="9.33203125" style="359" bestFit="1" customWidth="1"/>
    <col min="4102" max="4353" width="8.88671875" style="359"/>
    <col min="4354" max="4354" width="7.33203125" style="359" customWidth="1"/>
    <col min="4355" max="4355" width="8.88671875" style="359"/>
    <col min="4356" max="4356" width="11.33203125" style="359" bestFit="1" customWidth="1"/>
    <col min="4357" max="4357" width="9.33203125" style="359" bestFit="1" customWidth="1"/>
    <col min="4358" max="4609" width="8.88671875" style="359"/>
    <col min="4610" max="4610" width="7.33203125" style="359" customWidth="1"/>
    <col min="4611" max="4611" width="8.88671875" style="359"/>
    <col min="4612" max="4612" width="11.33203125" style="359" bestFit="1" customWidth="1"/>
    <col min="4613" max="4613" width="9.33203125" style="359" bestFit="1" customWidth="1"/>
    <col min="4614" max="4865" width="8.88671875" style="359"/>
    <col min="4866" max="4866" width="7.33203125" style="359" customWidth="1"/>
    <col min="4867" max="4867" width="8.88671875" style="359"/>
    <col min="4868" max="4868" width="11.33203125" style="359" bestFit="1" customWidth="1"/>
    <col min="4869" max="4869" width="9.33203125" style="359" bestFit="1" customWidth="1"/>
    <col min="4870" max="5121" width="8.88671875" style="359"/>
    <col min="5122" max="5122" width="7.33203125" style="359" customWidth="1"/>
    <col min="5123" max="5123" width="8.88671875" style="359"/>
    <col min="5124" max="5124" width="11.33203125" style="359" bestFit="1" customWidth="1"/>
    <col min="5125" max="5125" width="9.33203125" style="359" bestFit="1" customWidth="1"/>
    <col min="5126" max="5377" width="8.88671875" style="359"/>
    <col min="5378" max="5378" width="7.33203125" style="359" customWidth="1"/>
    <col min="5379" max="5379" width="8.88671875" style="359"/>
    <col min="5380" max="5380" width="11.33203125" style="359" bestFit="1" customWidth="1"/>
    <col min="5381" max="5381" width="9.33203125" style="359" bestFit="1" customWidth="1"/>
    <col min="5382" max="5633" width="8.88671875" style="359"/>
    <col min="5634" max="5634" width="7.33203125" style="359" customWidth="1"/>
    <col min="5635" max="5635" width="8.88671875" style="359"/>
    <col min="5636" max="5636" width="11.33203125" style="359" bestFit="1" customWidth="1"/>
    <col min="5637" max="5637" width="9.33203125" style="359" bestFit="1" customWidth="1"/>
    <col min="5638" max="5889" width="8.88671875" style="359"/>
    <col min="5890" max="5890" width="7.33203125" style="359" customWidth="1"/>
    <col min="5891" max="5891" width="8.88671875" style="359"/>
    <col min="5892" max="5892" width="11.33203125" style="359" bestFit="1" customWidth="1"/>
    <col min="5893" max="5893" width="9.33203125" style="359" bestFit="1" customWidth="1"/>
    <col min="5894" max="6145" width="8.88671875" style="359"/>
    <col min="6146" max="6146" width="7.33203125" style="359" customWidth="1"/>
    <col min="6147" max="6147" width="8.88671875" style="359"/>
    <col min="6148" max="6148" width="11.33203125" style="359" bestFit="1" customWidth="1"/>
    <col min="6149" max="6149" width="9.33203125" style="359" bestFit="1" customWidth="1"/>
    <col min="6150" max="6401" width="8.88671875" style="359"/>
    <col min="6402" max="6402" width="7.33203125" style="359" customWidth="1"/>
    <col min="6403" max="6403" width="8.88671875" style="359"/>
    <col min="6404" max="6404" width="11.33203125" style="359" bestFit="1" customWidth="1"/>
    <col min="6405" max="6405" width="9.33203125" style="359" bestFit="1" customWidth="1"/>
    <col min="6406" max="6657" width="8.88671875" style="359"/>
    <col min="6658" max="6658" width="7.33203125" style="359" customWidth="1"/>
    <col min="6659" max="6659" width="8.88671875" style="359"/>
    <col min="6660" max="6660" width="11.33203125" style="359" bestFit="1" customWidth="1"/>
    <col min="6661" max="6661" width="9.33203125" style="359" bestFit="1" customWidth="1"/>
    <col min="6662" max="6913" width="8.88671875" style="359"/>
    <col min="6914" max="6914" width="7.33203125" style="359" customWidth="1"/>
    <col min="6915" max="6915" width="8.88671875" style="359"/>
    <col min="6916" max="6916" width="11.33203125" style="359" bestFit="1" customWidth="1"/>
    <col min="6917" max="6917" width="9.33203125" style="359" bestFit="1" customWidth="1"/>
    <col min="6918" max="7169" width="8.88671875" style="359"/>
    <col min="7170" max="7170" width="7.33203125" style="359" customWidth="1"/>
    <col min="7171" max="7171" width="8.88671875" style="359"/>
    <col min="7172" max="7172" width="11.33203125" style="359" bestFit="1" customWidth="1"/>
    <col min="7173" max="7173" width="9.33203125" style="359" bestFit="1" customWidth="1"/>
    <col min="7174" max="7425" width="8.88671875" style="359"/>
    <col min="7426" max="7426" width="7.33203125" style="359" customWidth="1"/>
    <col min="7427" max="7427" width="8.88671875" style="359"/>
    <col min="7428" max="7428" width="11.33203125" style="359" bestFit="1" customWidth="1"/>
    <col min="7429" max="7429" width="9.33203125" style="359" bestFit="1" customWidth="1"/>
    <col min="7430" max="7681" width="8.88671875" style="359"/>
    <col min="7682" max="7682" width="7.33203125" style="359" customWidth="1"/>
    <col min="7683" max="7683" width="8.88671875" style="359"/>
    <col min="7684" max="7684" width="11.33203125" style="359" bestFit="1" customWidth="1"/>
    <col min="7685" max="7685" width="9.33203125" style="359" bestFit="1" customWidth="1"/>
    <col min="7686" max="7937" width="8.88671875" style="359"/>
    <col min="7938" max="7938" width="7.33203125" style="359" customWidth="1"/>
    <col min="7939" max="7939" width="8.88671875" style="359"/>
    <col min="7940" max="7940" width="11.33203125" style="359" bestFit="1" customWidth="1"/>
    <col min="7941" max="7941" width="9.33203125" style="359" bestFit="1" customWidth="1"/>
    <col min="7942" max="8193" width="8.88671875" style="359"/>
    <col min="8194" max="8194" width="7.33203125" style="359" customWidth="1"/>
    <col min="8195" max="8195" width="8.88671875" style="359"/>
    <col min="8196" max="8196" width="11.33203125" style="359" bestFit="1" customWidth="1"/>
    <col min="8197" max="8197" width="9.33203125" style="359" bestFit="1" customWidth="1"/>
    <col min="8198" max="8449" width="8.88671875" style="359"/>
    <col min="8450" max="8450" width="7.33203125" style="359" customWidth="1"/>
    <col min="8451" max="8451" width="8.88671875" style="359"/>
    <col min="8452" max="8452" width="11.33203125" style="359" bestFit="1" customWidth="1"/>
    <col min="8453" max="8453" width="9.33203125" style="359" bestFit="1" customWidth="1"/>
    <col min="8454" max="8705" width="8.88671875" style="359"/>
    <col min="8706" max="8706" width="7.33203125" style="359" customWidth="1"/>
    <col min="8707" max="8707" width="8.88671875" style="359"/>
    <col min="8708" max="8708" width="11.33203125" style="359" bestFit="1" customWidth="1"/>
    <col min="8709" max="8709" width="9.33203125" style="359" bestFit="1" customWidth="1"/>
    <col min="8710" max="8961" width="8.88671875" style="359"/>
    <col min="8962" max="8962" width="7.33203125" style="359" customWidth="1"/>
    <col min="8963" max="8963" width="8.88671875" style="359"/>
    <col min="8964" max="8964" width="11.33203125" style="359" bestFit="1" customWidth="1"/>
    <col min="8965" max="8965" width="9.33203125" style="359" bestFit="1" customWidth="1"/>
    <col min="8966" max="9217" width="8.88671875" style="359"/>
    <col min="9218" max="9218" width="7.33203125" style="359" customWidth="1"/>
    <col min="9219" max="9219" width="8.88671875" style="359"/>
    <col min="9220" max="9220" width="11.33203125" style="359" bestFit="1" customWidth="1"/>
    <col min="9221" max="9221" width="9.33203125" style="359" bestFit="1" customWidth="1"/>
    <col min="9222" max="9473" width="8.88671875" style="359"/>
    <col min="9474" max="9474" width="7.33203125" style="359" customWidth="1"/>
    <col min="9475" max="9475" width="8.88671875" style="359"/>
    <col min="9476" max="9476" width="11.33203125" style="359" bestFit="1" customWidth="1"/>
    <col min="9477" max="9477" width="9.33203125" style="359" bestFit="1" customWidth="1"/>
    <col min="9478" max="9729" width="8.88671875" style="359"/>
    <col min="9730" max="9730" width="7.33203125" style="359" customWidth="1"/>
    <col min="9731" max="9731" width="8.88671875" style="359"/>
    <col min="9732" max="9732" width="11.33203125" style="359" bestFit="1" customWidth="1"/>
    <col min="9733" max="9733" width="9.33203125" style="359" bestFit="1" customWidth="1"/>
    <col min="9734" max="9985" width="8.88671875" style="359"/>
    <col min="9986" max="9986" width="7.33203125" style="359" customWidth="1"/>
    <col min="9987" max="9987" width="8.88671875" style="359"/>
    <col min="9988" max="9988" width="11.33203125" style="359" bestFit="1" customWidth="1"/>
    <col min="9989" max="9989" width="9.33203125" style="359" bestFit="1" customWidth="1"/>
    <col min="9990" max="10241" width="8.88671875" style="359"/>
    <col min="10242" max="10242" width="7.33203125" style="359" customWidth="1"/>
    <col min="10243" max="10243" width="8.88671875" style="359"/>
    <col min="10244" max="10244" width="11.33203125" style="359" bestFit="1" customWidth="1"/>
    <col min="10245" max="10245" width="9.33203125" style="359" bestFit="1" customWidth="1"/>
    <col min="10246" max="10497" width="8.88671875" style="359"/>
    <col min="10498" max="10498" width="7.33203125" style="359" customWidth="1"/>
    <col min="10499" max="10499" width="8.88671875" style="359"/>
    <col min="10500" max="10500" width="11.33203125" style="359" bestFit="1" customWidth="1"/>
    <col min="10501" max="10501" width="9.33203125" style="359" bestFit="1" customWidth="1"/>
    <col min="10502" max="10753" width="8.88671875" style="359"/>
    <col min="10754" max="10754" width="7.33203125" style="359" customWidth="1"/>
    <col min="10755" max="10755" width="8.88671875" style="359"/>
    <col min="10756" max="10756" width="11.33203125" style="359" bestFit="1" customWidth="1"/>
    <col min="10757" max="10757" width="9.33203125" style="359" bestFit="1" customWidth="1"/>
    <col min="10758" max="11009" width="8.88671875" style="359"/>
    <col min="11010" max="11010" width="7.33203125" style="359" customWidth="1"/>
    <col min="11011" max="11011" width="8.88671875" style="359"/>
    <col min="11012" max="11012" width="11.33203125" style="359" bestFit="1" customWidth="1"/>
    <col min="11013" max="11013" width="9.33203125" style="359" bestFit="1" customWidth="1"/>
    <col min="11014" max="11265" width="8.88671875" style="359"/>
    <col min="11266" max="11266" width="7.33203125" style="359" customWidth="1"/>
    <col min="11267" max="11267" width="8.88671875" style="359"/>
    <col min="11268" max="11268" width="11.33203125" style="359" bestFit="1" customWidth="1"/>
    <col min="11269" max="11269" width="9.33203125" style="359" bestFit="1" customWidth="1"/>
    <col min="11270" max="11521" width="8.88671875" style="359"/>
    <col min="11522" max="11522" width="7.33203125" style="359" customWidth="1"/>
    <col min="11523" max="11523" width="8.88671875" style="359"/>
    <col min="11524" max="11524" width="11.33203125" style="359" bestFit="1" customWidth="1"/>
    <col min="11525" max="11525" width="9.33203125" style="359" bestFit="1" customWidth="1"/>
    <col min="11526" max="11777" width="8.88671875" style="359"/>
    <col min="11778" max="11778" width="7.33203125" style="359" customWidth="1"/>
    <col min="11779" max="11779" width="8.88671875" style="359"/>
    <col min="11780" max="11780" width="11.33203125" style="359" bestFit="1" customWidth="1"/>
    <col min="11781" max="11781" width="9.33203125" style="359" bestFit="1" customWidth="1"/>
    <col min="11782" max="12033" width="8.88671875" style="359"/>
    <col min="12034" max="12034" width="7.33203125" style="359" customWidth="1"/>
    <col min="12035" max="12035" width="8.88671875" style="359"/>
    <col min="12036" max="12036" width="11.33203125" style="359" bestFit="1" customWidth="1"/>
    <col min="12037" max="12037" width="9.33203125" style="359" bestFit="1" customWidth="1"/>
    <col min="12038" max="12289" width="8.88671875" style="359"/>
    <col min="12290" max="12290" width="7.33203125" style="359" customWidth="1"/>
    <col min="12291" max="12291" width="8.88671875" style="359"/>
    <col min="12292" max="12292" width="11.33203125" style="359" bestFit="1" customWidth="1"/>
    <col min="12293" max="12293" width="9.33203125" style="359" bestFit="1" customWidth="1"/>
    <col min="12294" max="12545" width="8.88671875" style="359"/>
    <col min="12546" max="12546" width="7.33203125" style="359" customWidth="1"/>
    <col min="12547" max="12547" width="8.88671875" style="359"/>
    <col min="12548" max="12548" width="11.33203125" style="359" bestFit="1" customWidth="1"/>
    <col min="12549" max="12549" width="9.33203125" style="359" bestFit="1" customWidth="1"/>
    <col min="12550" max="12801" width="8.88671875" style="359"/>
    <col min="12802" max="12802" width="7.33203125" style="359" customWidth="1"/>
    <col min="12803" max="12803" width="8.88671875" style="359"/>
    <col min="12804" max="12804" width="11.33203125" style="359" bestFit="1" customWidth="1"/>
    <col min="12805" max="12805" width="9.33203125" style="359" bestFit="1" customWidth="1"/>
    <col min="12806" max="13057" width="8.88671875" style="359"/>
    <col min="13058" max="13058" width="7.33203125" style="359" customWidth="1"/>
    <col min="13059" max="13059" width="8.88671875" style="359"/>
    <col min="13060" max="13060" width="11.33203125" style="359" bestFit="1" customWidth="1"/>
    <col min="13061" max="13061" width="9.33203125" style="359" bestFit="1" customWidth="1"/>
    <col min="13062" max="13313" width="8.88671875" style="359"/>
    <col min="13314" max="13314" width="7.33203125" style="359" customWidth="1"/>
    <col min="13315" max="13315" width="8.88671875" style="359"/>
    <col min="13316" max="13316" width="11.33203125" style="359" bestFit="1" customWidth="1"/>
    <col min="13317" max="13317" width="9.33203125" style="359" bestFit="1" customWidth="1"/>
    <col min="13318" max="13569" width="8.88671875" style="359"/>
    <col min="13570" max="13570" width="7.33203125" style="359" customWidth="1"/>
    <col min="13571" max="13571" width="8.88671875" style="359"/>
    <col min="13572" max="13572" width="11.33203125" style="359" bestFit="1" customWidth="1"/>
    <col min="13573" max="13573" width="9.33203125" style="359" bestFit="1" customWidth="1"/>
    <col min="13574" max="13825" width="8.88671875" style="359"/>
    <col min="13826" max="13826" width="7.33203125" style="359" customWidth="1"/>
    <col min="13827" max="13827" width="8.88671875" style="359"/>
    <col min="13828" max="13828" width="11.33203125" style="359" bestFit="1" customWidth="1"/>
    <col min="13829" max="13829" width="9.33203125" style="359" bestFit="1" customWidth="1"/>
    <col min="13830" max="14081" width="8.88671875" style="359"/>
    <col min="14082" max="14082" width="7.33203125" style="359" customWidth="1"/>
    <col min="14083" max="14083" width="8.88671875" style="359"/>
    <col min="14084" max="14084" width="11.33203125" style="359" bestFit="1" customWidth="1"/>
    <col min="14085" max="14085" width="9.33203125" style="359" bestFit="1" customWidth="1"/>
    <col min="14086" max="14337" width="8.88671875" style="359"/>
    <col min="14338" max="14338" width="7.33203125" style="359" customWidth="1"/>
    <col min="14339" max="14339" width="8.88671875" style="359"/>
    <col min="14340" max="14340" width="11.33203125" style="359" bestFit="1" customWidth="1"/>
    <col min="14341" max="14341" width="9.33203125" style="359" bestFit="1" customWidth="1"/>
    <col min="14342" max="14593" width="8.88671875" style="359"/>
    <col min="14594" max="14594" width="7.33203125" style="359" customWidth="1"/>
    <col min="14595" max="14595" width="8.88671875" style="359"/>
    <col min="14596" max="14596" width="11.33203125" style="359" bestFit="1" customWidth="1"/>
    <col min="14597" max="14597" width="9.33203125" style="359" bestFit="1" customWidth="1"/>
    <col min="14598" max="14849" width="8.88671875" style="359"/>
    <col min="14850" max="14850" width="7.33203125" style="359" customWidth="1"/>
    <col min="14851" max="14851" width="8.88671875" style="359"/>
    <col min="14852" max="14852" width="11.33203125" style="359" bestFit="1" customWidth="1"/>
    <col min="14853" max="14853" width="9.33203125" style="359" bestFit="1" customWidth="1"/>
    <col min="14854" max="15105" width="8.88671875" style="359"/>
    <col min="15106" max="15106" width="7.33203125" style="359" customWidth="1"/>
    <col min="15107" max="15107" width="8.88671875" style="359"/>
    <col min="15108" max="15108" width="11.33203125" style="359" bestFit="1" customWidth="1"/>
    <col min="15109" max="15109" width="9.33203125" style="359" bestFit="1" customWidth="1"/>
    <col min="15110" max="15361" width="8.88671875" style="359"/>
    <col min="15362" max="15362" width="7.33203125" style="359" customWidth="1"/>
    <col min="15363" max="15363" width="8.88671875" style="359"/>
    <col min="15364" max="15364" width="11.33203125" style="359" bestFit="1" customWidth="1"/>
    <col min="15365" max="15365" width="9.33203125" style="359" bestFit="1" customWidth="1"/>
    <col min="15366" max="15617" width="8.88671875" style="359"/>
    <col min="15618" max="15618" width="7.33203125" style="359" customWidth="1"/>
    <col min="15619" max="15619" width="8.88671875" style="359"/>
    <col min="15620" max="15620" width="11.33203125" style="359" bestFit="1" customWidth="1"/>
    <col min="15621" max="15621" width="9.33203125" style="359" bestFit="1" customWidth="1"/>
    <col min="15622" max="15873" width="8.88671875" style="359"/>
    <col min="15874" max="15874" width="7.33203125" style="359" customWidth="1"/>
    <col min="15875" max="15875" width="8.88671875" style="359"/>
    <col min="15876" max="15876" width="11.33203125" style="359" bestFit="1" customWidth="1"/>
    <col min="15877" max="15877" width="9.33203125" style="359" bestFit="1" customWidth="1"/>
    <col min="15878" max="16129" width="8.88671875" style="359"/>
    <col min="16130" max="16130" width="7.33203125" style="359" customWidth="1"/>
    <col min="16131" max="16131" width="8.88671875" style="359"/>
    <col min="16132" max="16132" width="11.33203125" style="359" bestFit="1" customWidth="1"/>
    <col min="16133" max="16133" width="9.33203125" style="359" bestFit="1" customWidth="1"/>
    <col min="16134" max="16384" width="8.88671875" style="359"/>
  </cols>
  <sheetData>
    <row r="1" spans="1:7">
      <c r="A1" s="362" t="s">
        <v>256</v>
      </c>
    </row>
    <row r="3" spans="1:7" ht="21">
      <c r="A3" s="1001" t="s">
        <v>257</v>
      </c>
      <c r="B3" s="1001"/>
      <c r="C3" s="1001"/>
      <c r="D3" s="1001"/>
      <c r="E3" s="1001"/>
      <c r="F3" s="1001"/>
      <c r="G3" s="1001"/>
    </row>
    <row r="4" spans="1:7" ht="15.6">
      <c r="A4" s="1002" t="s">
        <v>258</v>
      </c>
      <c r="B4" s="1002"/>
      <c r="C4" s="1002"/>
      <c r="D4" s="1002"/>
      <c r="E4" s="1002"/>
      <c r="F4" s="1002"/>
      <c r="G4" s="1002"/>
    </row>
    <row r="5" spans="1:7">
      <c r="B5" s="369"/>
      <c r="C5" s="369"/>
      <c r="D5" s="369"/>
      <c r="E5" s="369"/>
      <c r="F5" s="369"/>
    </row>
    <row r="8" spans="1:7">
      <c r="C8" s="359" t="s">
        <v>259</v>
      </c>
    </row>
    <row r="10" spans="1:7">
      <c r="B10" s="359" t="s">
        <v>260</v>
      </c>
      <c r="C10" s="359">
        <v>60</v>
      </c>
      <c r="D10" s="370">
        <f>119536.22-2032</f>
        <v>117504.22</v>
      </c>
      <c r="E10" s="370"/>
    </row>
    <row r="11" spans="1:7">
      <c r="B11" s="359" t="s">
        <v>260</v>
      </c>
      <c r="C11" s="359">
        <v>360</v>
      </c>
      <c r="D11" s="370">
        <v>46539.72</v>
      </c>
      <c r="E11" s="370"/>
    </row>
    <row r="12" spans="1:7">
      <c r="B12" s="359" t="s">
        <v>260</v>
      </c>
      <c r="C12" s="359">
        <v>390</v>
      </c>
      <c r="D12" s="370">
        <v>47797.33</v>
      </c>
      <c r="E12" s="370"/>
    </row>
    <row r="13" spans="1:7">
      <c r="B13" s="359" t="s">
        <v>260</v>
      </c>
      <c r="C13" s="359">
        <v>430</v>
      </c>
      <c r="D13" s="370">
        <v>40146.839999999997</v>
      </c>
      <c r="E13" s="370"/>
    </row>
    <row r="14" spans="1:7">
      <c r="B14" s="359" t="s">
        <v>260</v>
      </c>
      <c r="C14" s="359">
        <v>530</v>
      </c>
      <c r="D14" s="370">
        <v>19053.89</v>
      </c>
      <c r="E14" s="370"/>
    </row>
    <row r="15" spans="1:7">
      <c r="B15" s="359" t="s">
        <v>260</v>
      </c>
      <c r="C15" s="359">
        <v>590</v>
      </c>
      <c r="D15" s="370">
        <v>36586.53</v>
      </c>
      <c r="E15" s="370"/>
    </row>
    <row r="16" spans="1:7">
      <c r="B16" s="359" t="s">
        <v>260</v>
      </c>
      <c r="C16" s="359">
        <v>620</v>
      </c>
      <c r="D16" s="370">
        <v>19893.900000000001</v>
      </c>
      <c r="E16" s="370"/>
    </row>
    <row r="17" spans="2:5">
      <c r="B17" s="359" t="s">
        <v>260</v>
      </c>
      <c r="C17" s="359">
        <v>640</v>
      </c>
      <c r="D17" s="370">
        <v>33683.69</v>
      </c>
      <c r="E17" s="370"/>
    </row>
    <row r="18" spans="2:5">
      <c r="B18" s="359" t="s">
        <v>260</v>
      </c>
      <c r="C18" s="359">
        <v>780</v>
      </c>
      <c r="D18" s="370">
        <v>19334.22</v>
      </c>
      <c r="E18" s="370"/>
    </row>
    <row r="19" spans="2:5">
      <c r="B19" s="359" t="s">
        <v>260</v>
      </c>
      <c r="C19" s="359">
        <v>840</v>
      </c>
      <c r="D19" s="370">
        <v>19365.89</v>
      </c>
      <c r="E19" s="370"/>
    </row>
    <row r="20" spans="2:5">
      <c r="B20" s="359" t="s">
        <v>260</v>
      </c>
      <c r="C20" s="359">
        <v>980</v>
      </c>
      <c r="D20" s="370">
        <v>17757.66</v>
      </c>
      <c r="E20" s="370"/>
    </row>
    <row r="21" spans="2:5">
      <c r="B21" s="359" t="s">
        <v>260</v>
      </c>
      <c r="C21" s="359">
        <v>1030</v>
      </c>
      <c r="D21" s="370">
        <v>32905.58</v>
      </c>
      <c r="E21" s="370"/>
    </row>
    <row r="22" spans="2:5">
      <c r="B22" s="359" t="s">
        <v>260</v>
      </c>
      <c r="C22" s="359">
        <v>1080</v>
      </c>
      <c r="D22" s="370">
        <v>17925.47</v>
      </c>
      <c r="E22" s="370"/>
    </row>
    <row r="23" spans="2:5">
      <c r="B23" s="359" t="s">
        <v>260</v>
      </c>
      <c r="C23" s="359">
        <v>1140</v>
      </c>
      <c r="D23" s="370">
        <v>16564.919999999998</v>
      </c>
      <c r="E23" s="370"/>
    </row>
    <row r="24" spans="2:5">
      <c r="B24" s="359" t="s">
        <v>260</v>
      </c>
      <c r="C24" s="359">
        <v>1410</v>
      </c>
      <c r="D24" s="370">
        <v>29620.21</v>
      </c>
      <c r="E24" s="370"/>
    </row>
    <row r="25" spans="2:5">
      <c r="B25" s="359" t="s">
        <v>260</v>
      </c>
      <c r="C25" s="359">
        <v>68</v>
      </c>
      <c r="D25" s="370">
        <v>10234.61</v>
      </c>
      <c r="E25" s="370"/>
    </row>
    <row r="26" spans="2:5">
      <c r="B26" s="359" t="s">
        <v>260</v>
      </c>
      <c r="C26" s="359">
        <v>365</v>
      </c>
      <c r="D26" s="370">
        <v>1543.04</v>
      </c>
      <c r="E26" s="370"/>
    </row>
    <row r="27" spans="2:5">
      <c r="B27" s="359" t="s">
        <v>260</v>
      </c>
      <c r="C27" s="359">
        <v>394</v>
      </c>
      <c r="D27" s="370">
        <v>2369.36</v>
      </c>
      <c r="E27" s="370"/>
    </row>
    <row r="28" spans="2:5">
      <c r="B28" s="359" t="s">
        <v>260</v>
      </c>
      <c r="C28" s="359">
        <v>436</v>
      </c>
      <c r="D28" s="371">
        <v>9583.43</v>
      </c>
    </row>
    <row r="29" spans="2:5">
      <c r="B29" s="359" t="s">
        <v>260</v>
      </c>
      <c r="C29" s="359">
        <v>535</v>
      </c>
      <c r="D29" s="371">
        <v>2671.78</v>
      </c>
    </row>
    <row r="30" spans="2:5">
      <c r="B30" s="359" t="s">
        <v>260</v>
      </c>
      <c r="C30" s="359">
        <v>596</v>
      </c>
      <c r="D30" s="370">
        <v>5625.6</v>
      </c>
    </row>
    <row r="31" spans="2:5">
      <c r="B31" s="359" t="s">
        <v>260</v>
      </c>
      <c r="C31" s="359">
        <v>627</v>
      </c>
      <c r="D31" s="371">
        <v>2075.7199999999998</v>
      </c>
    </row>
    <row r="32" spans="2:5">
      <c r="B32" s="359" t="s">
        <v>260</v>
      </c>
      <c r="C32" s="359">
        <v>785</v>
      </c>
      <c r="D32" s="371">
        <v>3153.72</v>
      </c>
    </row>
    <row r="33" spans="2:5">
      <c r="B33" s="359" t="s">
        <v>260</v>
      </c>
      <c r="C33" s="359">
        <v>854</v>
      </c>
      <c r="D33" s="371">
        <v>2389.11</v>
      </c>
    </row>
    <row r="34" spans="2:5">
      <c r="B34" s="359" t="s">
        <v>260</v>
      </c>
      <c r="C34" s="359">
        <v>985</v>
      </c>
      <c r="D34" s="371">
        <v>4855.25</v>
      </c>
    </row>
    <row r="35" spans="2:5">
      <c r="B35" s="359" t="s">
        <v>260</v>
      </c>
      <c r="C35" s="359">
        <v>1037</v>
      </c>
      <c r="D35" s="371">
        <v>6181.98</v>
      </c>
    </row>
    <row r="36" spans="2:5">
      <c r="B36" s="359" t="s">
        <v>260</v>
      </c>
      <c r="C36" s="359">
        <v>1083</v>
      </c>
      <c r="D36" s="371">
        <v>2644.16</v>
      </c>
    </row>
    <row r="37" spans="2:5">
      <c r="B37" s="359" t="s">
        <v>260</v>
      </c>
      <c r="C37" s="359">
        <v>1144</v>
      </c>
      <c r="D37" s="371">
        <v>1816.15</v>
      </c>
    </row>
    <row r="38" spans="2:5">
      <c r="D38" s="370">
        <f>SUM(D10:D37)</f>
        <v>569823.9800000001</v>
      </c>
    </row>
    <row r="39" spans="2:5">
      <c r="D39" s="370">
        <f>ROUND(D38*0.5%,2)</f>
        <v>2849.12</v>
      </c>
      <c r="E39" s="366">
        <v>5.0000000000000001E-3</v>
      </c>
    </row>
    <row r="40" spans="2:5">
      <c r="D40" s="370">
        <f>ROUND(D38*0.7%,2)</f>
        <v>3988.77</v>
      </c>
      <c r="E40" s="366">
        <v>7.0000000000000001E-3</v>
      </c>
    </row>
    <row r="41" spans="2:5">
      <c r="D41" s="364">
        <f>+D40+D39</f>
        <v>6837.8899999999994</v>
      </c>
      <c r="E41" s="359" t="s">
        <v>261</v>
      </c>
    </row>
    <row r="42" spans="2:5">
      <c r="D42" s="359">
        <f>ROUND(D41*23.8%,2)</f>
        <v>1627.42</v>
      </c>
    </row>
    <row r="43" spans="2:5">
      <c r="D43" s="364">
        <f>+ROUND(D41*8.5%,2)</f>
        <v>581.22</v>
      </c>
    </row>
    <row r="44" spans="2:5">
      <c r="D44" s="364">
        <f>+D43+D42+D41</f>
        <v>9046.5299999999988</v>
      </c>
    </row>
  </sheetData>
  <mergeCells count="2">
    <mergeCell ref="A3:G3"/>
    <mergeCell ref="A4:G4"/>
  </mergeCell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oglio13"/>
  <dimension ref="A2:J47"/>
  <sheetViews>
    <sheetView topLeftCell="A10" workbookViewId="0">
      <selection activeCell="A3" sqref="A3"/>
    </sheetView>
  </sheetViews>
  <sheetFormatPr defaultColWidth="8.88671875" defaultRowHeight="13.2"/>
  <cols>
    <col min="1" max="1" width="11.44140625" style="359" bestFit="1" customWidth="1"/>
    <col min="2" max="3" width="11.33203125" style="359" bestFit="1" customWidth="1"/>
    <col min="4" max="4" width="9" style="359" customWidth="1"/>
    <col min="5" max="5" width="5.5546875" style="359" customWidth="1"/>
    <col min="6" max="6" width="6.6640625" style="359" customWidth="1"/>
    <col min="7" max="7" width="13.6640625" style="359" bestFit="1" customWidth="1"/>
    <col min="8" max="8" width="24.33203125" style="359" bestFit="1" customWidth="1"/>
    <col min="9" max="9" width="17.5546875" style="359" customWidth="1"/>
    <col min="10" max="10" width="25.5546875" style="359" bestFit="1" customWidth="1"/>
    <col min="11" max="16384" width="8.88671875" style="359"/>
  </cols>
  <sheetData>
    <row r="2" spans="1:10">
      <c r="H2" s="359" t="s">
        <v>282</v>
      </c>
      <c r="I2" s="359" t="s">
        <v>281</v>
      </c>
      <c r="J2" s="359" t="s">
        <v>280</v>
      </c>
    </row>
    <row r="3" spans="1:10">
      <c r="A3" s="359">
        <v>22</v>
      </c>
      <c r="B3" s="374">
        <v>38353</v>
      </c>
      <c r="C3" s="359" t="s">
        <v>264</v>
      </c>
      <c r="D3" s="359">
        <v>60</v>
      </c>
      <c r="E3" s="359">
        <v>0</v>
      </c>
      <c r="F3" s="359">
        <v>2005</v>
      </c>
      <c r="G3" s="373">
        <v>38355</v>
      </c>
      <c r="H3" s="372">
        <f>143491.75-37224-266.13-439.07</f>
        <v>105562.54999999999</v>
      </c>
      <c r="I3" s="372">
        <f>+H3-J3</f>
        <v>0</v>
      </c>
      <c r="J3" s="372">
        <f>+H3</f>
        <v>105562.54999999999</v>
      </c>
    </row>
    <row r="4" spans="1:10">
      <c r="A4" s="359">
        <v>387</v>
      </c>
      <c r="B4" s="359" t="s">
        <v>279</v>
      </c>
      <c r="C4" s="359" t="s">
        <v>265</v>
      </c>
      <c r="D4" s="359">
        <v>97</v>
      </c>
      <c r="E4" s="359">
        <v>0</v>
      </c>
      <c r="F4" s="359">
        <v>2005</v>
      </c>
      <c r="G4" s="373">
        <v>38496</v>
      </c>
      <c r="H4" s="372">
        <v>11138.22</v>
      </c>
      <c r="I4" s="359">
        <v>0</v>
      </c>
      <c r="J4" s="372">
        <v>11138.22</v>
      </c>
    </row>
    <row r="5" spans="1:10">
      <c r="A5" s="359">
        <v>388</v>
      </c>
      <c r="B5" s="359" t="s">
        <v>279</v>
      </c>
      <c r="C5" s="359" t="s">
        <v>265</v>
      </c>
      <c r="D5" s="359">
        <v>97</v>
      </c>
      <c r="E5" s="359">
        <v>0</v>
      </c>
      <c r="F5" s="359">
        <v>2005</v>
      </c>
      <c r="G5" s="373">
        <v>38496</v>
      </c>
      <c r="H5" s="372">
        <v>1487.4</v>
      </c>
      <c r="I5" s="359">
        <v>0</v>
      </c>
      <c r="J5" s="372">
        <v>1487.4</v>
      </c>
    </row>
    <row r="6" spans="1:10">
      <c r="A6" s="359">
        <v>389</v>
      </c>
      <c r="B6" s="359" t="s">
        <v>279</v>
      </c>
      <c r="C6" s="359" t="s">
        <v>265</v>
      </c>
      <c r="D6" s="359">
        <v>97</v>
      </c>
      <c r="E6" s="359">
        <v>0</v>
      </c>
      <c r="F6" s="359">
        <v>2005</v>
      </c>
      <c r="G6" s="373">
        <v>38496</v>
      </c>
      <c r="H6" s="372">
        <v>14398.56</v>
      </c>
      <c r="I6" s="359">
        <v>963.28</v>
      </c>
      <c r="J6" s="372">
        <v>13435.28</v>
      </c>
    </row>
    <row r="7" spans="1:10">
      <c r="A7" s="359">
        <v>390</v>
      </c>
      <c r="B7" s="359" t="s">
        <v>279</v>
      </c>
      <c r="C7" s="359" t="s">
        <v>265</v>
      </c>
      <c r="D7" s="359">
        <v>97</v>
      </c>
      <c r="E7" s="359">
        <v>0</v>
      </c>
      <c r="F7" s="359">
        <v>2005</v>
      </c>
      <c r="G7" s="373">
        <v>38496</v>
      </c>
      <c r="H7" s="372">
        <v>4834.4399999999996</v>
      </c>
      <c r="I7" s="359">
        <v>0</v>
      </c>
      <c r="J7" s="372">
        <v>4834.4399999999996</v>
      </c>
    </row>
    <row r="8" spans="1:10">
      <c r="A8" s="359">
        <v>391</v>
      </c>
      <c r="B8" s="359" t="s">
        <v>279</v>
      </c>
      <c r="C8" s="359" t="s">
        <v>265</v>
      </c>
      <c r="D8" s="359">
        <v>97</v>
      </c>
      <c r="E8" s="359">
        <v>0</v>
      </c>
      <c r="F8" s="359">
        <v>2005</v>
      </c>
      <c r="G8" s="373">
        <v>38496</v>
      </c>
      <c r="H8" s="372">
        <v>7165</v>
      </c>
      <c r="I8" s="359">
        <v>0</v>
      </c>
      <c r="J8" s="372">
        <v>7165</v>
      </c>
    </row>
    <row r="9" spans="1:10">
      <c r="A9" s="359">
        <v>392</v>
      </c>
      <c r="B9" s="359" t="s">
        <v>279</v>
      </c>
      <c r="C9" s="359" t="s">
        <v>265</v>
      </c>
      <c r="D9" s="359">
        <v>97</v>
      </c>
      <c r="E9" s="359">
        <v>0</v>
      </c>
      <c r="F9" s="359">
        <v>2005</v>
      </c>
      <c r="G9" s="373">
        <v>38496</v>
      </c>
      <c r="H9" s="372">
        <v>2179.36</v>
      </c>
      <c r="I9" s="359">
        <v>595</v>
      </c>
      <c r="J9" s="372">
        <v>1584.36</v>
      </c>
    </row>
    <row r="10" spans="1:10">
      <c r="A10" s="359">
        <v>393</v>
      </c>
      <c r="B10" s="359" t="s">
        <v>279</v>
      </c>
      <c r="C10" s="359" t="s">
        <v>265</v>
      </c>
      <c r="D10" s="359">
        <v>97</v>
      </c>
      <c r="E10" s="359">
        <v>0</v>
      </c>
      <c r="F10" s="359">
        <v>2005</v>
      </c>
      <c r="G10" s="373">
        <v>38496</v>
      </c>
      <c r="H10" s="372">
        <v>9112.7199999999993</v>
      </c>
      <c r="I10" s="372">
        <v>9112.7199999999993</v>
      </c>
      <c r="J10" s="359">
        <v>0</v>
      </c>
    </row>
    <row r="11" spans="1:10">
      <c r="A11" s="359">
        <v>542</v>
      </c>
      <c r="B11" s="359" t="s">
        <v>278</v>
      </c>
      <c r="C11" s="359" t="s">
        <v>265</v>
      </c>
      <c r="D11" s="359">
        <v>97</v>
      </c>
      <c r="E11" s="359">
        <v>0</v>
      </c>
      <c r="F11" s="359">
        <v>2005</v>
      </c>
      <c r="G11" s="373">
        <v>38531</v>
      </c>
      <c r="H11" s="372">
        <v>3536</v>
      </c>
      <c r="I11" s="372">
        <v>3536</v>
      </c>
      <c r="J11" s="359">
        <v>0</v>
      </c>
    </row>
    <row r="12" spans="1:10">
      <c r="A12" s="359">
        <v>545</v>
      </c>
      <c r="B12" s="359" t="s">
        <v>276</v>
      </c>
      <c r="C12" s="359" t="s">
        <v>265</v>
      </c>
      <c r="D12" s="359">
        <v>97</v>
      </c>
      <c r="E12" s="359">
        <v>0</v>
      </c>
      <c r="F12" s="359">
        <v>2005</v>
      </c>
      <c r="G12" s="373">
        <v>38547</v>
      </c>
      <c r="H12" s="359">
        <v>0</v>
      </c>
      <c r="I12" s="359">
        <v>0</v>
      </c>
      <c r="J12" s="359">
        <v>0</v>
      </c>
    </row>
    <row r="13" spans="1:10">
      <c r="A13" s="359">
        <v>548</v>
      </c>
      <c r="B13" s="374">
        <v>38353</v>
      </c>
      <c r="C13" s="359" t="s">
        <v>264</v>
      </c>
      <c r="D13" s="359">
        <v>97</v>
      </c>
      <c r="E13" s="359">
        <v>0</v>
      </c>
      <c r="F13" s="359">
        <v>2005</v>
      </c>
      <c r="G13" s="373">
        <v>38547</v>
      </c>
      <c r="H13" s="359">
        <v>554</v>
      </c>
      <c r="I13" s="359">
        <v>554</v>
      </c>
      <c r="J13" s="359">
        <v>0</v>
      </c>
    </row>
    <row r="14" spans="1:10">
      <c r="A14" s="359">
        <v>551</v>
      </c>
      <c r="B14" s="359" t="s">
        <v>277</v>
      </c>
      <c r="C14" s="359" t="s">
        <v>265</v>
      </c>
      <c r="D14" s="359">
        <v>97</v>
      </c>
      <c r="E14" s="359">
        <v>0</v>
      </c>
      <c r="F14" s="359">
        <v>2005</v>
      </c>
      <c r="G14" s="373">
        <v>38547</v>
      </c>
      <c r="H14" s="359">
        <v>0</v>
      </c>
      <c r="I14" s="359">
        <v>0</v>
      </c>
      <c r="J14" s="359">
        <v>0</v>
      </c>
    </row>
    <row r="15" spans="1:10">
      <c r="A15" s="359">
        <v>1168</v>
      </c>
      <c r="B15" s="359" t="s">
        <v>277</v>
      </c>
      <c r="C15" s="359" t="s">
        <v>265</v>
      </c>
      <c r="D15" s="359">
        <v>97</v>
      </c>
      <c r="E15" s="359">
        <v>0</v>
      </c>
      <c r="F15" s="359">
        <v>2005</v>
      </c>
      <c r="G15" s="373">
        <v>38716</v>
      </c>
      <c r="H15" s="372">
        <v>2609.8000000000002</v>
      </c>
      <c r="I15" s="372">
        <v>2609.8000000000002</v>
      </c>
      <c r="J15" s="359">
        <v>0</v>
      </c>
    </row>
    <row r="16" spans="1:10">
      <c r="A16" s="359">
        <v>1169</v>
      </c>
      <c r="B16" s="374">
        <v>38353</v>
      </c>
      <c r="C16" s="359" t="s">
        <v>264</v>
      </c>
      <c r="D16" s="359">
        <v>97</v>
      </c>
      <c r="E16" s="359">
        <v>0</v>
      </c>
      <c r="F16" s="359">
        <v>2005</v>
      </c>
      <c r="G16" s="373">
        <v>38716</v>
      </c>
      <c r="H16" s="359">
        <v>3.2</v>
      </c>
      <c r="I16" s="359">
        <v>3.2</v>
      </c>
      <c r="J16" s="359">
        <v>0</v>
      </c>
    </row>
    <row r="17" spans="1:10">
      <c r="A17" s="359">
        <v>1174</v>
      </c>
      <c r="B17" s="359" t="s">
        <v>276</v>
      </c>
      <c r="C17" s="359" t="s">
        <v>265</v>
      </c>
      <c r="D17" s="359">
        <v>97</v>
      </c>
      <c r="E17" s="359">
        <v>0</v>
      </c>
      <c r="F17" s="359">
        <v>2005</v>
      </c>
      <c r="G17" s="373">
        <v>38716</v>
      </c>
      <c r="H17" s="359">
        <v>925.8</v>
      </c>
      <c r="I17" s="359">
        <v>925.8</v>
      </c>
      <c r="J17" s="359">
        <v>0</v>
      </c>
    </row>
    <row r="18" spans="1:10">
      <c r="A18" s="359">
        <v>1175</v>
      </c>
      <c r="B18" s="374">
        <v>38353</v>
      </c>
      <c r="C18" s="359" t="s">
        <v>264</v>
      </c>
      <c r="D18" s="359">
        <v>97</v>
      </c>
      <c r="E18" s="359">
        <v>0</v>
      </c>
      <c r="F18" s="359">
        <v>2005</v>
      </c>
      <c r="G18" s="373">
        <v>38716</v>
      </c>
      <c r="H18" s="359">
        <v>862.49</v>
      </c>
      <c r="I18" s="359">
        <v>862.49</v>
      </c>
      <c r="J18" s="359">
        <v>0</v>
      </c>
    </row>
    <row r="19" spans="1:10">
      <c r="A19" s="359">
        <v>23</v>
      </c>
      <c r="B19" s="374">
        <v>38353</v>
      </c>
      <c r="C19" s="359" t="s">
        <v>264</v>
      </c>
      <c r="D19" s="359">
        <v>360</v>
      </c>
      <c r="E19" s="359">
        <v>0</v>
      </c>
      <c r="F19" s="359">
        <v>2005</v>
      </c>
      <c r="G19" s="373">
        <v>38355</v>
      </c>
      <c r="H19" s="372">
        <v>48532.24</v>
      </c>
      <c r="I19" s="359">
        <v>0</v>
      </c>
      <c r="J19" s="372">
        <v>48496.38</v>
      </c>
    </row>
    <row r="20" spans="1:10">
      <c r="A20" s="359">
        <v>1240</v>
      </c>
      <c r="B20" s="359" t="s">
        <v>274</v>
      </c>
      <c r="C20" s="359" t="s">
        <v>273</v>
      </c>
      <c r="D20" s="359">
        <v>360</v>
      </c>
      <c r="E20" s="359">
        <v>0</v>
      </c>
      <c r="F20" s="359">
        <v>2005</v>
      </c>
      <c r="G20" s="373">
        <v>38354</v>
      </c>
      <c r="H20" s="372">
        <v>1420.26</v>
      </c>
      <c r="I20" s="372">
        <v>1420.26</v>
      </c>
      <c r="J20" s="359">
        <v>0</v>
      </c>
    </row>
    <row r="21" spans="1:10">
      <c r="A21" s="359">
        <v>24</v>
      </c>
      <c r="B21" s="374">
        <v>38353</v>
      </c>
      <c r="C21" s="359" t="s">
        <v>264</v>
      </c>
      <c r="D21" s="359">
        <v>390</v>
      </c>
      <c r="E21" s="359">
        <v>0</v>
      </c>
      <c r="F21" s="359">
        <v>2005</v>
      </c>
      <c r="G21" s="373">
        <v>38355</v>
      </c>
      <c r="H21" s="372">
        <v>90401.88</v>
      </c>
      <c r="I21" s="359">
        <v>0</v>
      </c>
      <c r="J21" s="372">
        <v>89230.64</v>
      </c>
    </row>
    <row r="22" spans="1:10">
      <c r="A22" s="359">
        <v>181</v>
      </c>
      <c r="B22" s="359" t="s">
        <v>275</v>
      </c>
      <c r="C22" s="359" t="s">
        <v>265</v>
      </c>
      <c r="D22" s="359">
        <v>390</v>
      </c>
      <c r="E22" s="359">
        <v>0</v>
      </c>
      <c r="F22" s="359">
        <v>2005</v>
      </c>
      <c r="G22" s="373">
        <v>38387</v>
      </c>
      <c r="H22" s="359">
        <v>228.32</v>
      </c>
      <c r="I22" s="359">
        <v>0</v>
      </c>
      <c r="J22" s="359">
        <v>228.32</v>
      </c>
    </row>
    <row r="23" spans="1:10">
      <c r="A23" s="359">
        <v>1241</v>
      </c>
      <c r="B23" s="359" t="s">
        <v>274</v>
      </c>
      <c r="C23" s="359" t="s">
        <v>273</v>
      </c>
      <c r="D23" s="359">
        <v>390</v>
      </c>
      <c r="E23" s="359">
        <v>0</v>
      </c>
      <c r="F23" s="359">
        <v>2005</v>
      </c>
      <c r="G23" s="373">
        <v>38354</v>
      </c>
      <c r="H23" s="372">
        <v>1678.48</v>
      </c>
      <c r="I23" s="372">
        <v>1678.48</v>
      </c>
      <c r="J23" s="359">
        <v>0</v>
      </c>
    </row>
    <row r="24" spans="1:10">
      <c r="A24" s="359">
        <v>332</v>
      </c>
      <c r="B24" s="359" t="s">
        <v>272</v>
      </c>
      <c r="C24" s="359" t="s">
        <v>265</v>
      </c>
      <c r="D24" s="359">
        <v>397</v>
      </c>
      <c r="E24" s="359">
        <v>0</v>
      </c>
      <c r="F24" s="359">
        <v>2005</v>
      </c>
      <c r="G24" s="373">
        <v>38469</v>
      </c>
      <c r="H24" s="372">
        <v>11210.63</v>
      </c>
      <c r="I24" s="359">
        <v>0</v>
      </c>
      <c r="J24" s="372">
        <v>11210.63</v>
      </c>
    </row>
    <row r="25" spans="1:10">
      <c r="A25" s="359">
        <v>25</v>
      </c>
      <c r="B25" s="374">
        <v>38353</v>
      </c>
      <c r="C25" s="359" t="s">
        <v>264</v>
      </c>
      <c r="D25" s="359">
        <v>430</v>
      </c>
      <c r="E25" s="359">
        <v>0</v>
      </c>
      <c r="F25" s="359">
        <v>2005</v>
      </c>
      <c r="G25" s="373">
        <v>38355</v>
      </c>
      <c r="H25" s="372">
        <v>43195.43</v>
      </c>
      <c r="I25" s="359">
        <v>0</v>
      </c>
      <c r="J25" s="372">
        <v>43195.43</v>
      </c>
    </row>
    <row r="26" spans="1:10">
      <c r="A26" s="359">
        <v>26</v>
      </c>
      <c r="B26" s="374">
        <v>38353</v>
      </c>
      <c r="C26" s="359" t="s">
        <v>264</v>
      </c>
      <c r="D26" s="359">
        <v>530</v>
      </c>
      <c r="E26" s="359">
        <v>0</v>
      </c>
      <c r="F26" s="359">
        <v>2005</v>
      </c>
      <c r="G26" s="373">
        <v>38355</v>
      </c>
      <c r="H26" s="372">
        <v>21074.78</v>
      </c>
      <c r="I26" s="359">
        <v>0</v>
      </c>
      <c r="J26" s="372">
        <v>21074.78</v>
      </c>
    </row>
    <row r="27" spans="1:10">
      <c r="A27" s="359">
        <v>271</v>
      </c>
      <c r="B27" s="359" t="s">
        <v>271</v>
      </c>
      <c r="C27" s="359" t="s">
        <v>265</v>
      </c>
      <c r="D27" s="359">
        <v>588</v>
      </c>
      <c r="E27" s="359">
        <v>0</v>
      </c>
      <c r="F27" s="359">
        <v>2005</v>
      </c>
      <c r="G27" s="373">
        <v>38466</v>
      </c>
      <c r="H27" s="372">
        <v>2800</v>
      </c>
      <c r="I27" s="359">
        <v>0</v>
      </c>
      <c r="J27" s="372">
        <v>2800</v>
      </c>
    </row>
    <row r="28" spans="1:10">
      <c r="A28" s="359">
        <v>508</v>
      </c>
      <c r="B28" s="359" t="s">
        <v>270</v>
      </c>
      <c r="C28" s="359" t="s">
        <v>265</v>
      </c>
      <c r="D28" s="359">
        <v>588</v>
      </c>
      <c r="E28" s="359">
        <v>0</v>
      </c>
      <c r="F28" s="359">
        <v>2005</v>
      </c>
      <c r="G28" s="373">
        <v>38530</v>
      </c>
      <c r="H28" s="372">
        <v>9907.02</v>
      </c>
      <c r="I28" s="359">
        <v>0</v>
      </c>
      <c r="J28" s="372">
        <v>9907.02</v>
      </c>
    </row>
    <row r="29" spans="1:10">
      <c r="A29" s="359">
        <v>599</v>
      </c>
      <c r="B29" s="359" t="s">
        <v>269</v>
      </c>
      <c r="C29" s="359" t="s">
        <v>265</v>
      </c>
      <c r="D29" s="359">
        <v>588</v>
      </c>
      <c r="E29" s="359">
        <v>0</v>
      </c>
      <c r="F29" s="359">
        <v>2005</v>
      </c>
      <c r="G29" s="373">
        <v>38560</v>
      </c>
      <c r="H29" s="372">
        <v>2800</v>
      </c>
      <c r="I29" s="359">
        <v>0</v>
      </c>
      <c r="J29" s="372">
        <v>2800</v>
      </c>
    </row>
    <row r="30" spans="1:10">
      <c r="A30" s="359">
        <v>755</v>
      </c>
      <c r="B30" s="359" t="s">
        <v>268</v>
      </c>
      <c r="C30" s="359" t="s">
        <v>265</v>
      </c>
      <c r="D30" s="359">
        <v>588</v>
      </c>
      <c r="E30" s="359">
        <v>0</v>
      </c>
      <c r="F30" s="359">
        <v>2005</v>
      </c>
      <c r="G30" s="373">
        <v>38637</v>
      </c>
      <c r="H30" s="359">
        <v>228.92</v>
      </c>
      <c r="I30" s="359">
        <v>0</v>
      </c>
      <c r="J30" s="359">
        <v>228.92</v>
      </c>
    </row>
    <row r="31" spans="1:10">
      <c r="A31" s="359">
        <v>780</v>
      </c>
      <c r="B31" s="359" t="s">
        <v>267</v>
      </c>
      <c r="C31" s="359" t="s">
        <v>265</v>
      </c>
      <c r="D31" s="359">
        <v>588</v>
      </c>
      <c r="E31" s="359">
        <v>0</v>
      </c>
      <c r="F31" s="359">
        <v>2005</v>
      </c>
      <c r="G31" s="373">
        <v>38652</v>
      </c>
      <c r="H31" s="372">
        <v>1900</v>
      </c>
      <c r="I31" s="372">
        <v>1900</v>
      </c>
      <c r="J31" s="359">
        <v>0</v>
      </c>
    </row>
    <row r="32" spans="1:10">
      <c r="A32" s="359">
        <v>844</v>
      </c>
      <c r="B32" s="359" t="s">
        <v>266</v>
      </c>
      <c r="C32" s="359" t="s">
        <v>265</v>
      </c>
      <c r="D32" s="359">
        <v>588</v>
      </c>
      <c r="E32" s="359">
        <v>0</v>
      </c>
      <c r="F32" s="359">
        <v>2005</v>
      </c>
      <c r="G32" s="373">
        <v>38691</v>
      </c>
      <c r="H32" s="372">
        <v>2150</v>
      </c>
      <c r="I32" s="359">
        <v>0</v>
      </c>
      <c r="J32" s="372">
        <v>1853.94</v>
      </c>
    </row>
    <row r="33" spans="1:10">
      <c r="A33" s="359">
        <v>27</v>
      </c>
      <c r="B33" s="374">
        <v>38353</v>
      </c>
      <c r="C33" s="359" t="s">
        <v>264</v>
      </c>
      <c r="D33" s="359">
        <v>590</v>
      </c>
      <c r="E33" s="359">
        <v>0</v>
      </c>
      <c r="F33" s="359">
        <v>2005</v>
      </c>
      <c r="G33" s="373">
        <v>38355</v>
      </c>
      <c r="H33" s="372">
        <v>62152.77</v>
      </c>
      <c r="I33" s="359">
        <v>0</v>
      </c>
      <c r="J33" s="372">
        <v>62152.77</v>
      </c>
    </row>
    <row r="34" spans="1:10">
      <c r="A34" s="359">
        <v>29</v>
      </c>
      <c r="B34" s="374">
        <v>38353</v>
      </c>
      <c r="C34" s="359" t="s">
        <v>264</v>
      </c>
      <c r="D34" s="359">
        <v>640</v>
      </c>
      <c r="E34" s="359">
        <v>0</v>
      </c>
      <c r="F34" s="359">
        <v>2005</v>
      </c>
      <c r="G34" s="373">
        <v>38355</v>
      </c>
      <c r="H34" s="372">
        <v>37014.28</v>
      </c>
      <c r="I34" s="359">
        <v>0</v>
      </c>
      <c r="J34" s="372">
        <v>37014.28</v>
      </c>
    </row>
    <row r="35" spans="1:10">
      <c r="A35" s="359">
        <v>30</v>
      </c>
      <c r="B35" s="374">
        <v>38353</v>
      </c>
      <c r="C35" s="359" t="s">
        <v>264</v>
      </c>
      <c r="D35" s="359">
        <v>840</v>
      </c>
      <c r="E35" s="359">
        <v>0</v>
      </c>
      <c r="F35" s="359">
        <v>2005</v>
      </c>
      <c r="G35" s="373">
        <v>38355</v>
      </c>
      <c r="H35" s="372">
        <v>21008.66</v>
      </c>
      <c r="I35" s="359">
        <v>0</v>
      </c>
      <c r="J35" s="372">
        <v>21008.66</v>
      </c>
    </row>
    <row r="36" spans="1:10">
      <c r="A36" s="359">
        <v>32</v>
      </c>
      <c r="B36" s="374">
        <v>38353</v>
      </c>
      <c r="C36" s="359" t="s">
        <v>264</v>
      </c>
      <c r="D36" s="359">
        <v>1030</v>
      </c>
      <c r="E36" s="359">
        <v>0</v>
      </c>
      <c r="F36" s="359">
        <v>2005</v>
      </c>
      <c r="G36" s="373">
        <v>38355</v>
      </c>
      <c r="H36" s="372">
        <v>54170.45</v>
      </c>
      <c r="I36" s="359">
        <v>0</v>
      </c>
      <c r="J36" s="372">
        <v>54170.45</v>
      </c>
    </row>
    <row r="37" spans="1:10">
      <c r="A37" s="359">
        <v>33</v>
      </c>
      <c r="B37" s="374">
        <v>38353</v>
      </c>
      <c r="C37" s="359" t="s">
        <v>264</v>
      </c>
      <c r="D37" s="359">
        <v>1410</v>
      </c>
      <c r="E37" s="359">
        <v>0</v>
      </c>
      <c r="F37" s="359">
        <v>2005</v>
      </c>
      <c r="G37" s="373">
        <v>38355</v>
      </c>
      <c r="H37" s="372">
        <v>48241.78</v>
      </c>
      <c r="I37" s="359">
        <v>0</v>
      </c>
      <c r="J37" s="372">
        <v>46726.97</v>
      </c>
    </row>
    <row r="38" spans="1:10">
      <c r="B38" s="374"/>
      <c r="D38" s="359">
        <v>1410</v>
      </c>
      <c r="E38" s="359">
        <v>0</v>
      </c>
      <c r="F38" s="359">
        <v>2005</v>
      </c>
      <c r="G38" s="373">
        <v>38355</v>
      </c>
      <c r="H38" s="372">
        <v>1420.26</v>
      </c>
      <c r="I38" s="359">
        <v>1420.26</v>
      </c>
      <c r="J38" s="372">
        <v>0</v>
      </c>
    </row>
    <row r="39" spans="1:10">
      <c r="A39" s="359">
        <v>31</v>
      </c>
      <c r="B39" s="374">
        <v>38353</v>
      </c>
      <c r="C39" s="359" t="s">
        <v>264</v>
      </c>
      <c r="D39" s="359">
        <v>1955</v>
      </c>
      <c r="E39" s="359">
        <v>0</v>
      </c>
      <c r="F39" s="359">
        <v>2005</v>
      </c>
      <c r="G39" s="373">
        <v>38355</v>
      </c>
      <c r="H39" s="372">
        <v>18562.75</v>
      </c>
      <c r="I39" s="359">
        <v>0</v>
      </c>
      <c r="J39" s="372">
        <v>18562.75</v>
      </c>
    </row>
    <row r="40" spans="1:10">
      <c r="H40" s="372">
        <f>SUM(H3:H39)</f>
        <v>644468.44999999995</v>
      </c>
      <c r="I40" s="372">
        <f>SUM(I3:I39)</f>
        <v>25581.289999999997</v>
      </c>
      <c r="J40" s="372">
        <f>SUM(J3:J39)</f>
        <v>615869.18999999994</v>
      </c>
    </row>
    <row r="41" spans="1:10" ht="14.4">
      <c r="H41" s="360"/>
      <c r="I41" s="372"/>
      <c r="J41" s="372"/>
    </row>
    <row r="42" spans="1:10" ht="14.4">
      <c r="H42" s="360"/>
      <c r="I42" s="372"/>
      <c r="J42" s="372">
        <f>+J40</f>
        <v>615869.18999999994</v>
      </c>
    </row>
    <row r="43" spans="1:10">
      <c r="J43" s="372">
        <f>+I40</f>
        <v>25581.289999999997</v>
      </c>
    </row>
    <row r="44" spans="1:10">
      <c r="J44" s="372">
        <f>+J43+J42</f>
        <v>641450.48</v>
      </c>
    </row>
    <row r="45" spans="1:10" ht="14.4">
      <c r="I45" s="366">
        <v>5.0000000000000001E-3</v>
      </c>
      <c r="J45" s="360">
        <f>+ROUND(J44*0.5%,2)</f>
        <v>3207.25</v>
      </c>
    </row>
    <row r="46" spans="1:10" ht="14.4">
      <c r="H46" s="359" t="s">
        <v>263</v>
      </c>
      <c r="I46" s="366">
        <v>6.0000000000000001E-3</v>
      </c>
      <c r="J46" s="360">
        <f>+ROUND(J44*0.6%,2)</f>
        <v>3848.7</v>
      </c>
    </row>
    <row r="47" spans="1:10" ht="14.4">
      <c r="H47" s="359" t="s">
        <v>262</v>
      </c>
      <c r="I47" s="366">
        <v>3.0000000000000001E-3</v>
      </c>
      <c r="J47" s="360">
        <f>+ROUND(J44*0.3%,2)</f>
        <v>1924.35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G7" sqref="G7"/>
    </sheetView>
  </sheetViews>
  <sheetFormatPr defaultRowHeight="14.4"/>
  <cols>
    <col min="1" max="1" width="8.88671875" style="359"/>
    <col min="2" max="2" width="12" style="359" customWidth="1"/>
    <col min="3" max="3" width="16.109375" style="360" customWidth="1"/>
    <col min="4" max="4" width="10.33203125" style="360" bestFit="1" customWidth="1"/>
    <col min="5" max="5" width="8.88671875" style="359"/>
    <col min="6" max="6" width="12.88671875" style="359" bestFit="1" customWidth="1"/>
    <col min="7" max="7" width="16.44140625" style="359" customWidth="1"/>
    <col min="8" max="257" width="8.88671875" style="359"/>
    <col min="258" max="258" width="12" style="359" customWidth="1"/>
    <col min="259" max="259" width="16.109375" style="359" customWidth="1"/>
    <col min="260" max="260" width="10.33203125" style="359" bestFit="1" customWidth="1"/>
    <col min="261" max="261" width="8.88671875" style="359"/>
    <col min="262" max="262" width="12.88671875" style="359" bestFit="1" customWidth="1"/>
    <col min="263" max="263" width="16.44140625" style="359" customWidth="1"/>
    <col min="264" max="513" width="8.88671875" style="359"/>
    <col min="514" max="514" width="12" style="359" customWidth="1"/>
    <col min="515" max="515" width="16.109375" style="359" customWidth="1"/>
    <col min="516" max="516" width="10.33203125" style="359" bestFit="1" customWidth="1"/>
    <col min="517" max="517" width="8.88671875" style="359"/>
    <col min="518" max="518" width="12.88671875" style="359" bestFit="1" customWidth="1"/>
    <col min="519" max="519" width="16.44140625" style="359" customWidth="1"/>
    <col min="520" max="769" width="8.88671875" style="359"/>
    <col min="770" max="770" width="12" style="359" customWidth="1"/>
    <col min="771" max="771" width="16.109375" style="359" customWidth="1"/>
    <col min="772" max="772" width="10.33203125" style="359" bestFit="1" customWidth="1"/>
    <col min="773" max="773" width="8.88671875" style="359"/>
    <col min="774" max="774" width="12.88671875" style="359" bestFit="1" customWidth="1"/>
    <col min="775" max="775" width="16.44140625" style="359" customWidth="1"/>
    <col min="776" max="1025" width="8.88671875" style="359"/>
    <col min="1026" max="1026" width="12" style="359" customWidth="1"/>
    <col min="1027" max="1027" width="16.109375" style="359" customWidth="1"/>
    <col min="1028" max="1028" width="10.33203125" style="359" bestFit="1" customWidth="1"/>
    <col min="1029" max="1029" width="8.88671875" style="359"/>
    <col min="1030" max="1030" width="12.88671875" style="359" bestFit="1" customWidth="1"/>
    <col min="1031" max="1031" width="16.44140625" style="359" customWidth="1"/>
    <col min="1032" max="1281" width="8.88671875" style="359"/>
    <col min="1282" max="1282" width="12" style="359" customWidth="1"/>
    <col min="1283" max="1283" width="16.109375" style="359" customWidth="1"/>
    <col min="1284" max="1284" width="10.33203125" style="359" bestFit="1" customWidth="1"/>
    <col min="1285" max="1285" width="8.88671875" style="359"/>
    <col min="1286" max="1286" width="12.88671875" style="359" bestFit="1" customWidth="1"/>
    <col min="1287" max="1287" width="16.44140625" style="359" customWidth="1"/>
    <col min="1288" max="1537" width="8.88671875" style="359"/>
    <col min="1538" max="1538" width="12" style="359" customWidth="1"/>
    <col min="1539" max="1539" width="16.109375" style="359" customWidth="1"/>
    <col min="1540" max="1540" width="10.33203125" style="359" bestFit="1" customWidth="1"/>
    <col min="1541" max="1541" width="8.88671875" style="359"/>
    <col min="1542" max="1542" width="12.88671875" style="359" bestFit="1" customWidth="1"/>
    <col min="1543" max="1543" width="16.44140625" style="359" customWidth="1"/>
    <col min="1544" max="1793" width="8.88671875" style="359"/>
    <col min="1794" max="1794" width="12" style="359" customWidth="1"/>
    <col min="1795" max="1795" width="16.109375" style="359" customWidth="1"/>
    <col min="1796" max="1796" width="10.33203125" style="359" bestFit="1" customWidth="1"/>
    <col min="1797" max="1797" width="8.88671875" style="359"/>
    <col min="1798" max="1798" width="12.88671875" style="359" bestFit="1" customWidth="1"/>
    <col min="1799" max="1799" width="16.44140625" style="359" customWidth="1"/>
    <col min="1800" max="2049" width="8.88671875" style="359"/>
    <col min="2050" max="2050" width="12" style="359" customWidth="1"/>
    <col min="2051" max="2051" width="16.109375" style="359" customWidth="1"/>
    <col min="2052" max="2052" width="10.33203125" style="359" bestFit="1" customWidth="1"/>
    <col min="2053" max="2053" width="8.88671875" style="359"/>
    <col min="2054" max="2054" width="12.88671875" style="359" bestFit="1" customWidth="1"/>
    <col min="2055" max="2055" width="16.44140625" style="359" customWidth="1"/>
    <col min="2056" max="2305" width="8.88671875" style="359"/>
    <col min="2306" max="2306" width="12" style="359" customWidth="1"/>
    <col min="2307" max="2307" width="16.109375" style="359" customWidth="1"/>
    <col min="2308" max="2308" width="10.33203125" style="359" bestFit="1" customWidth="1"/>
    <col min="2309" max="2309" width="8.88671875" style="359"/>
    <col min="2310" max="2310" width="12.88671875" style="359" bestFit="1" customWidth="1"/>
    <col min="2311" max="2311" width="16.44140625" style="359" customWidth="1"/>
    <col min="2312" max="2561" width="8.88671875" style="359"/>
    <col min="2562" max="2562" width="12" style="359" customWidth="1"/>
    <col min="2563" max="2563" width="16.109375" style="359" customWidth="1"/>
    <col min="2564" max="2564" width="10.33203125" style="359" bestFit="1" customWidth="1"/>
    <col min="2565" max="2565" width="8.88671875" style="359"/>
    <col min="2566" max="2566" width="12.88671875" style="359" bestFit="1" customWidth="1"/>
    <col min="2567" max="2567" width="16.44140625" style="359" customWidth="1"/>
    <col min="2568" max="2817" width="8.88671875" style="359"/>
    <col min="2818" max="2818" width="12" style="359" customWidth="1"/>
    <col min="2819" max="2819" width="16.109375" style="359" customWidth="1"/>
    <col min="2820" max="2820" width="10.33203125" style="359" bestFit="1" customWidth="1"/>
    <col min="2821" max="2821" width="8.88671875" style="359"/>
    <col min="2822" max="2822" width="12.88671875" style="359" bestFit="1" customWidth="1"/>
    <col min="2823" max="2823" width="16.44140625" style="359" customWidth="1"/>
    <col min="2824" max="3073" width="8.88671875" style="359"/>
    <col min="3074" max="3074" width="12" style="359" customWidth="1"/>
    <col min="3075" max="3075" width="16.109375" style="359" customWidth="1"/>
    <col min="3076" max="3076" width="10.33203125" style="359" bestFit="1" customWidth="1"/>
    <col min="3077" max="3077" width="8.88671875" style="359"/>
    <col min="3078" max="3078" width="12.88671875" style="359" bestFit="1" customWidth="1"/>
    <col min="3079" max="3079" width="16.44140625" style="359" customWidth="1"/>
    <col min="3080" max="3329" width="8.88671875" style="359"/>
    <col min="3330" max="3330" width="12" style="359" customWidth="1"/>
    <col min="3331" max="3331" width="16.109375" style="359" customWidth="1"/>
    <col min="3332" max="3332" width="10.33203125" style="359" bestFit="1" customWidth="1"/>
    <col min="3333" max="3333" width="8.88671875" style="359"/>
    <col min="3334" max="3334" width="12.88671875" style="359" bestFit="1" customWidth="1"/>
    <col min="3335" max="3335" width="16.44140625" style="359" customWidth="1"/>
    <col min="3336" max="3585" width="8.88671875" style="359"/>
    <col min="3586" max="3586" width="12" style="359" customWidth="1"/>
    <col min="3587" max="3587" width="16.109375" style="359" customWidth="1"/>
    <col min="3588" max="3588" width="10.33203125" style="359" bestFit="1" customWidth="1"/>
    <col min="3589" max="3589" width="8.88671875" style="359"/>
    <col min="3590" max="3590" width="12.88671875" style="359" bestFit="1" customWidth="1"/>
    <col min="3591" max="3591" width="16.44140625" style="359" customWidth="1"/>
    <col min="3592" max="3841" width="8.88671875" style="359"/>
    <col min="3842" max="3842" width="12" style="359" customWidth="1"/>
    <col min="3843" max="3843" width="16.109375" style="359" customWidth="1"/>
    <col min="3844" max="3844" width="10.33203125" style="359" bestFit="1" customWidth="1"/>
    <col min="3845" max="3845" width="8.88671875" style="359"/>
    <col min="3846" max="3846" width="12.88671875" style="359" bestFit="1" customWidth="1"/>
    <col min="3847" max="3847" width="16.44140625" style="359" customWidth="1"/>
    <col min="3848" max="4097" width="8.88671875" style="359"/>
    <col min="4098" max="4098" width="12" style="359" customWidth="1"/>
    <col min="4099" max="4099" width="16.109375" style="359" customWidth="1"/>
    <col min="4100" max="4100" width="10.33203125" style="359" bestFit="1" customWidth="1"/>
    <col min="4101" max="4101" width="8.88671875" style="359"/>
    <col min="4102" max="4102" width="12.88671875" style="359" bestFit="1" customWidth="1"/>
    <col min="4103" max="4103" width="16.44140625" style="359" customWidth="1"/>
    <col min="4104" max="4353" width="8.88671875" style="359"/>
    <col min="4354" max="4354" width="12" style="359" customWidth="1"/>
    <col min="4355" max="4355" width="16.109375" style="359" customWidth="1"/>
    <col min="4356" max="4356" width="10.33203125" style="359" bestFit="1" customWidth="1"/>
    <col min="4357" max="4357" width="8.88671875" style="359"/>
    <col min="4358" max="4358" width="12.88671875" style="359" bestFit="1" customWidth="1"/>
    <col min="4359" max="4359" width="16.44140625" style="359" customWidth="1"/>
    <col min="4360" max="4609" width="8.88671875" style="359"/>
    <col min="4610" max="4610" width="12" style="359" customWidth="1"/>
    <col min="4611" max="4611" width="16.109375" style="359" customWidth="1"/>
    <col min="4612" max="4612" width="10.33203125" style="359" bestFit="1" customWidth="1"/>
    <col min="4613" max="4613" width="8.88671875" style="359"/>
    <col min="4614" max="4614" width="12.88671875" style="359" bestFit="1" customWidth="1"/>
    <col min="4615" max="4615" width="16.44140625" style="359" customWidth="1"/>
    <col min="4616" max="4865" width="8.88671875" style="359"/>
    <col min="4866" max="4866" width="12" style="359" customWidth="1"/>
    <col min="4867" max="4867" width="16.109375" style="359" customWidth="1"/>
    <col min="4868" max="4868" width="10.33203125" style="359" bestFit="1" customWidth="1"/>
    <col min="4869" max="4869" width="8.88671875" style="359"/>
    <col min="4870" max="4870" width="12.88671875" style="359" bestFit="1" customWidth="1"/>
    <col min="4871" max="4871" width="16.44140625" style="359" customWidth="1"/>
    <col min="4872" max="5121" width="8.88671875" style="359"/>
    <col min="5122" max="5122" width="12" style="359" customWidth="1"/>
    <col min="5123" max="5123" width="16.109375" style="359" customWidth="1"/>
    <col min="5124" max="5124" width="10.33203125" style="359" bestFit="1" customWidth="1"/>
    <col min="5125" max="5125" width="8.88671875" style="359"/>
    <col min="5126" max="5126" width="12.88671875" style="359" bestFit="1" customWidth="1"/>
    <col min="5127" max="5127" width="16.44140625" style="359" customWidth="1"/>
    <col min="5128" max="5377" width="8.88671875" style="359"/>
    <col min="5378" max="5378" width="12" style="359" customWidth="1"/>
    <col min="5379" max="5379" width="16.109375" style="359" customWidth="1"/>
    <col min="5380" max="5380" width="10.33203125" style="359" bestFit="1" customWidth="1"/>
    <col min="5381" max="5381" width="8.88671875" style="359"/>
    <col min="5382" max="5382" width="12.88671875" style="359" bestFit="1" customWidth="1"/>
    <col min="5383" max="5383" width="16.44140625" style="359" customWidth="1"/>
    <col min="5384" max="5633" width="8.88671875" style="359"/>
    <col min="5634" max="5634" width="12" style="359" customWidth="1"/>
    <col min="5635" max="5635" width="16.109375" style="359" customWidth="1"/>
    <col min="5636" max="5636" width="10.33203125" style="359" bestFit="1" customWidth="1"/>
    <col min="5637" max="5637" width="8.88671875" style="359"/>
    <col min="5638" max="5638" width="12.88671875" style="359" bestFit="1" customWidth="1"/>
    <col min="5639" max="5639" width="16.44140625" style="359" customWidth="1"/>
    <col min="5640" max="5889" width="8.88671875" style="359"/>
    <col min="5890" max="5890" width="12" style="359" customWidth="1"/>
    <col min="5891" max="5891" width="16.109375" style="359" customWidth="1"/>
    <col min="5892" max="5892" width="10.33203125" style="359" bestFit="1" customWidth="1"/>
    <col min="5893" max="5893" width="8.88671875" style="359"/>
    <col min="5894" max="5894" width="12.88671875" style="359" bestFit="1" customWidth="1"/>
    <col min="5895" max="5895" width="16.44140625" style="359" customWidth="1"/>
    <col min="5896" max="6145" width="8.88671875" style="359"/>
    <col min="6146" max="6146" width="12" style="359" customWidth="1"/>
    <col min="6147" max="6147" width="16.109375" style="359" customWidth="1"/>
    <col min="6148" max="6148" width="10.33203125" style="359" bestFit="1" customWidth="1"/>
    <col min="6149" max="6149" width="8.88671875" style="359"/>
    <col min="6150" max="6150" width="12.88671875" style="359" bestFit="1" customWidth="1"/>
    <col min="6151" max="6151" width="16.44140625" style="359" customWidth="1"/>
    <col min="6152" max="6401" width="8.88671875" style="359"/>
    <col min="6402" max="6402" width="12" style="359" customWidth="1"/>
    <col min="6403" max="6403" width="16.109375" style="359" customWidth="1"/>
    <col min="6404" max="6404" width="10.33203125" style="359" bestFit="1" customWidth="1"/>
    <col min="6405" max="6405" width="8.88671875" style="359"/>
    <col min="6406" max="6406" width="12.88671875" style="359" bestFit="1" customWidth="1"/>
    <col min="6407" max="6407" width="16.44140625" style="359" customWidth="1"/>
    <col min="6408" max="6657" width="8.88671875" style="359"/>
    <col min="6658" max="6658" width="12" style="359" customWidth="1"/>
    <col min="6659" max="6659" width="16.109375" style="359" customWidth="1"/>
    <col min="6660" max="6660" width="10.33203125" style="359" bestFit="1" customWidth="1"/>
    <col min="6661" max="6661" width="8.88671875" style="359"/>
    <col min="6662" max="6662" width="12.88671875" style="359" bestFit="1" customWidth="1"/>
    <col min="6663" max="6663" width="16.44140625" style="359" customWidth="1"/>
    <col min="6664" max="6913" width="8.88671875" style="359"/>
    <col min="6914" max="6914" width="12" style="359" customWidth="1"/>
    <col min="6915" max="6915" width="16.109375" style="359" customWidth="1"/>
    <col min="6916" max="6916" width="10.33203125" style="359" bestFit="1" customWidth="1"/>
    <col min="6917" max="6917" width="8.88671875" style="359"/>
    <col min="6918" max="6918" width="12.88671875" style="359" bestFit="1" customWidth="1"/>
    <col min="6919" max="6919" width="16.44140625" style="359" customWidth="1"/>
    <col min="6920" max="7169" width="8.88671875" style="359"/>
    <col min="7170" max="7170" width="12" style="359" customWidth="1"/>
    <col min="7171" max="7171" width="16.109375" style="359" customWidth="1"/>
    <col min="7172" max="7172" width="10.33203125" style="359" bestFit="1" customWidth="1"/>
    <col min="7173" max="7173" width="8.88671875" style="359"/>
    <col min="7174" max="7174" width="12.88671875" style="359" bestFit="1" customWidth="1"/>
    <col min="7175" max="7175" width="16.44140625" style="359" customWidth="1"/>
    <col min="7176" max="7425" width="8.88671875" style="359"/>
    <col min="7426" max="7426" width="12" style="359" customWidth="1"/>
    <col min="7427" max="7427" width="16.109375" style="359" customWidth="1"/>
    <col min="7428" max="7428" width="10.33203125" style="359" bestFit="1" customWidth="1"/>
    <col min="7429" max="7429" width="8.88671875" style="359"/>
    <col min="7430" max="7430" width="12.88671875" style="359" bestFit="1" customWidth="1"/>
    <col min="7431" max="7431" width="16.44140625" style="359" customWidth="1"/>
    <col min="7432" max="7681" width="8.88671875" style="359"/>
    <col min="7682" max="7682" width="12" style="359" customWidth="1"/>
    <col min="7683" max="7683" width="16.109375" style="359" customWidth="1"/>
    <col min="7684" max="7684" width="10.33203125" style="359" bestFit="1" customWidth="1"/>
    <col min="7685" max="7685" width="8.88671875" style="359"/>
    <col min="7686" max="7686" width="12.88671875" style="359" bestFit="1" customWidth="1"/>
    <col min="7687" max="7687" width="16.44140625" style="359" customWidth="1"/>
    <col min="7688" max="7937" width="8.88671875" style="359"/>
    <col min="7938" max="7938" width="12" style="359" customWidth="1"/>
    <col min="7939" max="7939" width="16.109375" style="359" customWidth="1"/>
    <col min="7940" max="7940" width="10.33203125" style="359" bestFit="1" customWidth="1"/>
    <col min="7941" max="7941" width="8.88671875" style="359"/>
    <col min="7942" max="7942" width="12.88671875" style="359" bestFit="1" customWidth="1"/>
    <col min="7943" max="7943" width="16.44140625" style="359" customWidth="1"/>
    <col min="7944" max="8193" width="8.88671875" style="359"/>
    <col min="8194" max="8194" width="12" style="359" customWidth="1"/>
    <col min="8195" max="8195" width="16.109375" style="359" customWidth="1"/>
    <col min="8196" max="8196" width="10.33203125" style="359" bestFit="1" customWidth="1"/>
    <col min="8197" max="8197" width="8.88671875" style="359"/>
    <col min="8198" max="8198" width="12.88671875" style="359" bestFit="1" customWidth="1"/>
    <col min="8199" max="8199" width="16.44140625" style="359" customWidth="1"/>
    <col min="8200" max="8449" width="8.88671875" style="359"/>
    <col min="8450" max="8450" width="12" style="359" customWidth="1"/>
    <col min="8451" max="8451" width="16.109375" style="359" customWidth="1"/>
    <col min="8452" max="8452" width="10.33203125" style="359" bestFit="1" customWidth="1"/>
    <col min="8453" max="8453" width="8.88671875" style="359"/>
    <col min="8454" max="8454" width="12.88671875" style="359" bestFit="1" customWidth="1"/>
    <col min="8455" max="8455" width="16.44140625" style="359" customWidth="1"/>
    <col min="8456" max="8705" width="8.88671875" style="359"/>
    <col min="8706" max="8706" width="12" style="359" customWidth="1"/>
    <col min="8707" max="8707" width="16.109375" style="359" customWidth="1"/>
    <col min="8708" max="8708" width="10.33203125" style="359" bestFit="1" customWidth="1"/>
    <col min="8709" max="8709" width="8.88671875" style="359"/>
    <col min="8710" max="8710" width="12.88671875" style="359" bestFit="1" customWidth="1"/>
    <col min="8711" max="8711" width="16.44140625" style="359" customWidth="1"/>
    <col min="8712" max="8961" width="8.88671875" style="359"/>
    <col min="8962" max="8962" width="12" style="359" customWidth="1"/>
    <col min="8963" max="8963" width="16.109375" style="359" customWidth="1"/>
    <col min="8964" max="8964" width="10.33203125" style="359" bestFit="1" customWidth="1"/>
    <col min="8965" max="8965" width="8.88671875" style="359"/>
    <col min="8966" max="8966" width="12.88671875" style="359" bestFit="1" customWidth="1"/>
    <col min="8967" max="8967" width="16.44140625" style="359" customWidth="1"/>
    <col min="8968" max="9217" width="8.88671875" style="359"/>
    <col min="9218" max="9218" width="12" style="359" customWidth="1"/>
    <col min="9219" max="9219" width="16.109375" style="359" customWidth="1"/>
    <col min="9220" max="9220" width="10.33203125" style="359" bestFit="1" customWidth="1"/>
    <col min="9221" max="9221" width="8.88671875" style="359"/>
    <col min="9222" max="9222" width="12.88671875" style="359" bestFit="1" customWidth="1"/>
    <col min="9223" max="9223" width="16.44140625" style="359" customWidth="1"/>
    <col min="9224" max="9473" width="8.88671875" style="359"/>
    <col min="9474" max="9474" width="12" style="359" customWidth="1"/>
    <col min="9475" max="9475" width="16.109375" style="359" customWidth="1"/>
    <col min="9476" max="9476" width="10.33203125" style="359" bestFit="1" customWidth="1"/>
    <col min="9477" max="9477" width="8.88671875" style="359"/>
    <col min="9478" max="9478" width="12.88671875" style="359" bestFit="1" customWidth="1"/>
    <col min="9479" max="9479" width="16.44140625" style="359" customWidth="1"/>
    <col min="9480" max="9729" width="8.88671875" style="359"/>
    <col min="9730" max="9730" width="12" style="359" customWidth="1"/>
    <col min="9731" max="9731" width="16.109375" style="359" customWidth="1"/>
    <col min="9732" max="9732" width="10.33203125" style="359" bestFit="1" customWidth="1"/>
    <col min="9733" max="9733" width="8.88671875" style="359"/>
    <col min="9734" max="9734" width="12.88671875" style="359" bestFit="1" customWidth="1"/>
    <col min="9735" max="9735" width="16.44140625" style="359" customWidth="1"/>
    <col min="9736" max="9985" width="8.88671875" style="359"/>
    <col min="9986" max="9986" width="12" style="359" customWidth="1"/>
    <col min="9987" max="9987" width="16.109375" style="359" customWidth="1"/>
    <col min="9988" max="9988" width="10.33203125" style="359" bestFit="1" customWidth="1"/>
    <col min="9989" max="9989" width="8.88671875" style="359"/>
    <col min="9990" max="9990" width="12.88671875" style="359" bestFit="1" customWidth="1"/>
    <col min="9991" max="9991" width="16.44140625" style="359" customWidth="1"/>
    <col min="9992" max="10241" width="8.88671875" style="359"/>
    <col min="10242" max="10242" width="12" style="359" customWidth="1"/>
    <col min="10243" max="10243" width="16.109375" style="359" customWidth="1"/>
    <col min="10244" max="10244" width="10.33203125" style="359" bestFit="1" customWidth="1"/>
    <col min="10245" max="10245" width="8.88671875" style="359"/>
    <col min="10246" max="10246" width="12.88671875" style="359" bestFit="1" customWidth="1"/>
    <col min="10247" max="10247" width="16.44140625" style="359" customWidth="1"/>
    <col min="10248" max="10497" width="8.88671875" style="359"/>
    <col min="10498" max="10498" width="12" style="359" customWidth="1"/>
    <col min="10499" max="10499" width="16.109375" style="359" customWidth="1"/>
    <col min="10500" max="10500" width="10.33203125" style="359" bestFit="1" customWidth="1"/>
    <col min="10501" max="10501" width="8.88671875" style="359"/>
    <col min="10502" max="10502" width="12.88671875" style="359" bestFit="1" customWidth="1"/>
    <col min="10503" max="10503" width="16.44140625" style="359" customWidth="1"/>
    <col min="10504" max="10753" width="8.88671875" style="359"/>
    <col min="10754" max="10754" width="12" style="359" customWidth="1"/>
    <col min="10755" max="10755" width="16.109375" style="359" customWidth="1"/>
    <col min="10756" max="10756" width="10.33203125" style="359" bestFit="1" customWidth="1"/>
    <col min="10757" max="10757" width="8.88671875" style="359"/>
    <col min="10758" max="10758" width="12.88671875" style="359" bestFit="1" customWidth="1"/>
    <col min="10759" max="10759" width="16.44140625" style="359" customWidth="1"/>
    <col min="10760" max="11009" width="8.88671875" style="359"/>
    <col min="11010" max="11010" width="12" style="359" customWidth="1"/>
    <col min="11011" max="11011" width="16.109375" style="359" customWidth="1"/>
    <col min="11012" max="11012" width="10.33203125" style="359" bestFit="1" customWidth="1"/>
    <col min="11013" max="11013" width="8.88671875" style="359"/>
    <col min="11014" max="11014" width="12.88671875" style="359" bestFit="1" customWidth="1"/>
    <col min="11015" max="11015" width="16.44140625" style="359" customWidth="1"/>
    <col min="11016" max="11265" width="8.88671875" style="359"/>
    <col min="11266" max="11266" width="12" style="359" customWidth="1"/>
    <col min="11267" max="11267" width="16.109375" style="359" customWidth="1"/>
    <col min="11268" max="11268" width="10.33203125" style="359" bestFit="1" customWidth="1"/>
    <col min="11269" max="11269" width="8.88671875" style="359"/>
    <col min="11270" max="11270" width="12.88671875" style="359" bestFit="1" customWidth="1"/>
    <col min="11271" max="11271" width="16.44140625" style="359" customWidth="1"/>
    <col min="11272" max="11521" width="8.88671875" style="359"/>
    <col min="11522" max="11522" width="12" style="359" customWidth="1"/>
    <col min="11523" max="11523" width="16.109375" style="359" customWidth="1"/>
    <col min="11524" max="11524" width="10.33203125" style="359" bestFit="1" customWidth="1"/>
    <col min="11525" max="11525" width="8.88671875" style="359"/>
    <col min="11526" max="11526" width="12.88671875" style="359" bestFit="1" customWidth="1"/>
    <col min="11527" max="11527" width="16.44140625" style="359" customWidth="1"/>
    <col min="11528" max="11777" width="8.88671875" style="359"/>
    <col min="11778" max="11778" width="12" style="359" customWidth="1"/>
    <col min="11779" max="11779" width="16.109375" style="359" customWidth="1"/>
    <col min="11780" max="11780" width="10.33203125" style="359" bestFit="1" customWidth="1"/>
    <col min="11781" max="11781" width="8.88671875" style="359"/>
    <col min="11782" max="11782" width="12.88671875" style="359" bestFit="1" customWidth="1"/>
    <col min="11783" max="11783" width="16.44140625" style="359" customWidth="1"/>
    <col min="11784" max="12033" width="8.88671875" style="359"/>
    <col min="12034" max="12034" width="12" style="359" customWidth="1"/>
    <col min="12035" max="12035" width="16.109375" style="359" customWidth="1"/>
    <col min="12036" max="12036" width="10.33203125" style="359" bestFit="1" customWidth="1"/>
    <col min="12037" max="12037" width="8.88671875" style="359"/>
    <col min="12038" max="12038" width="12.88671875" style="359" bestFit="1" customWidth="1"/>
    <col min="12039" max="12039" width="16.44140625" style="359" customWidth="1"/>
    <col min="12040" max="12289" width="8.88671875" style="359"/>
    <col min="12290" max="12290" width="12" style="359" customWidth="1"/>
    <col min="12291" max="12291" width="16.109375" style="359" customWidth="1"/>
    <col min="12292" max="12292" width="10.33203125" style="359" bestFit="1" customWidth="1"/>
    <col min="12293" max="12293" width="8.88671875" style="359"/>
    <col min="12294" max="12294" width="12.88671875" style="359" bestFit="1" customWidth="1"/>
    <col min="12295" max="12295" width="16.44140625" style="359" customWidth="1"/>
    <col min="12296" max="12545" width="8.88671875" style="359"/>
    <col min="12546" max="12546" width="12" style="359" customWidth="1"/>
    <col min="12547" max="12547" width="16.109375" style="359" customWidth="1"/>
    <col min="12548" max="12548" width="10.33203125" style="359" bestFit="1" customWidth="1"/>
    <col min="12549" max="12549" width="8.88671875" style="359"/>
    <col min="12550" max="12550" width="12.88671875" style="359" bestFit="1" customWidth="1"/>
    <col min="12551" max="12551" width="16.44140625" style="359" customWidth="1"/>
    <col min="12552" max="12801" width="8.88671875" style="359"/>
    <col min="12802" max="12802" width="12" style="359" customWidth="1"/>
    <col min="12803" max="12803" width="16.109375" style="359" customWidth="1"/>
    <col min="12804" max="12804" width="10.33203125" style="359" bestFit="1" customWidth="1"/>
    <col min="12805" max="12805" width="8.88671875" style="359"/>
    <col min="12806" max="12806" width="12.88671875" style="359" bestFit="1" customWidth="1"/>
    <col min="12807" max="12807" width="16.44140625" style="359" customWidth="1"/>
    <col min="12808" max="13057" width="8.88671875" style="359"/>
    <col min="13058" max="13058" width="12" style="359" customWidth="1"/>
    <col min="13059" max="13059" width="16.109375" style="359" customWidth="1"/>
    <col min="13060" max="13060" width="10.33203125" style="359" bestFit="1" customWidth="1"/>
    <col min="13061" max="13061" width="8.88671875" style="359"/>
    <col min="13062" max="13062" width="12.88671875" style="359" bestFit="1" customWidth="1"/>
    <col min="13063" max="13063" width="16.44140625" style="359" customWidth="1"/>
    <col min="13064" max="13313" width="8.88671875" style="359"/>
    <col min="13314" max="13314" width="12" style="359" customWidth="1"/>
    <col min="13315" max="13315" width="16.109375" style="359" customWidth="1"/>
    <col min="13316" max="13316" width="10.33203125" style="359" bestFit="1" customWidth="1"/>
    <col min="13317" max="13317" width="8.88671875" style="359"/>
    <col min="13318" max="13318" width="12.88671875" style="359" bestFit="1" customWidth="1"/>
    <col min="13319" max="13319" width="16.44140625" style="359" customWidth="1"/>
    <col min="13320" max="13569" width="8.88671875" style="359"/>
    <col min="13570" max="13570" width="12" style="359" customWidth="1"/>
    <col min="13571" max="13571" width="16.109375" style="359" customWidth="1"/>
    <col min="13572" max="13572" width="10.33203125" style="359" bestFit="1" customWidth="1"/>
    <col min="13573" max="13573" width="8.88671875" style="359"/>
    <col min="13574" max="13574" width="12.88671875" style="359" bestFit="1" customWidth="1"/>
    <col min="13575" max="13575" width="16.44140625" style="359" customWidth="1"/>
    <col min="13576" max="13825" width="8.88671875" style="359"/>
    <col min="13826" max="13826" width="12" style="359" customWidth="1"/>
    <col min="13827" max="13827" width="16.109375" style="359" customWidth="1"/>
    <col min="13828" max="13828" width="10.33203125" style="359" bestFit="1" customWidth="1"/>
    <col min="13829" max="13829" width="8.88671875" style="359"/>
    <col min="13830" max="13830" width="12.88671875" style="359" bestFit="1" customWidth="1"/>
    <col min="13831" max="13831" width="16.44140625" style="359" customWidth="1"/>
    <col min="13832" max="14081" width="8.88671875" style="359"/>
    <col min="14082" max="14082" width="12" style="359" customWidth="1"/>
    <col min="14083" max="14083" width="16.109375" style="359" customWidth="1"/>
    <col min="14084" max="14084" width="10.33203125" style="359" bestFit="1" customWidth="1"/>
    <col min="14085" max="14085" width="8.88671875" style="359"/>
    <col min="14086" max="14086" width="12.88671875" style="359" bestFit="1" customWidth="1"/>
    <col min="14087" max="14087" width="16.44140625" style="359" customWidth="1"/>
    <col min="14088" max="14337" width="8.88671875" style="359"/>
    <col min="14338" max="14338" width="12" style="359" customWidth="1"/>
    <col min="14339" max="14339" width="16.109375" style="359" customWidth="1"/>
    <col min="14340" max="14340" width="10.33203125" style="359" bestFit="1" customWidth="1"/>
    <col min="14341" max="14341" width="8.88671875" style="359"/>
    <col min="14342" max="14342" width="12.88671875" style="359" bestFit="1" customWidth="1"/>
    <col min="14343" max="14343" width="16.44140625" style="359" customWidth="1"/>
    <col min="14344" max="14593" width="8.88671875" style="359"/>
    <col min="14594" max="14594" width="12" style="359" customWidth="1"/>
    <col min="14595" max="14595" width="16.109375" style="359" customWidth="1"/>
    <col min="14596" max="14596" width="10.33203125" style="359" bestFit="1" customWidth="1"/>
    <col min="14597" max="14597" width="8.88671875" style="359"/>
    <col min="14598" max="14598" width="12.88671875" style="359" bestFit="1" customWidth="1"/>
    <col min="14599" max="14599" width="16.44140625" style="359" customWidth="1"/>
    <col min="14600" max="14849" width="8.88671875" style="359"/>
    <col min="14850" max="14850" width="12" style="359" customWidth="1"/>
    <col min="14851" max="14851" width="16.109375" style="359" customWidth="1"/>
    <col min="14852" max="14852" width="10.33203125" style="359" bestFit="1" customWidth="1"/>
    <col min="14853" max="14853" width="8.88671875" style="359"/>
    <col min="14854" max="14854" width="12.88671875" style="359" bestFit="1" customWidth="1"/>
    <col min="14855" max="14855" width="16.44140625" style="359" customWidth="1"/>
    <col min="14856" max="15105" width="8.88671875" style="359"/>
    <col min="15106" max="15106" width="12" style="359" customWidth="1"/>
    <col min="15107" max="15107" width="16.109375" style="359" customWidth="1"/>
    <col min="15108" max="15108" width="10.33203125" style="359" bestFit="1" customWidth="1"/>
    <col min="15109" max="15109" width="8.88671875" style="359"/>
    <col min="15110" max="15110" width="12.88671875" style="359" bestFit="1" customWidth="1"/>
    <col min="15111" max="15111" width="16.44140625" style="359" customWidth="1"/>
    <col min="15112" max="15361" width="8.88671875" style="359"/>
    <col min="15362" max="15362" width="12" style="359" customWidth="1"/>
    <col min="15363" max="15363" width="16.109375" style="359" customWidth="1"/>
    <col min="15364" max="15364" width="10.33203125" style="359" bestFit="1" customWidth="1"/>
    <col min="15365" max="15365" width="8.88671875" style="359"/>
    <col min="15366" max="15366" width="12.88671875" style="359" bestFit="1" customWidth="1"/>
    <col min="15367" max="15367" width="16.44140625" style="359" customWidth="1"/>
    <col min="15368" max="15617" width="8.88671875" style="359"/>
    <col min="15618" max="15618" width="12" style="359" customWidth="1"/>
    <col min="15619" max="15619" width="16.109375" style="359" customWidth="1"/>
    <col min="15620" max="15620" width="10.33203125" style="359" bestFit="1" customWidth="1"/>
    <col min="15621" max="15621" width="8.88671875" style="359"/>
    <col min="15622" max="15622" width="12.88671875" style="359" bestFit="1" customWidth="1"/>
    <col min="15623" max="15623" width="16.44140625" style="359" customWidth="1"/>
    <col min="15624" max="15873" width="8.88671875" style="359"/>
    <col min="15874" max="15874" width="12" style="359" customWidth="1"/>
    <col min="15875" max="15875" width="16.109375" style="359" customWidth="1"/>
    <col min="15876" max="15876" width="10.33203125" style="359" bestFit="1" customWidth="1"/>
    <col min="15877" max="15877" width="8.88671875" style="359"/>
    <col min="15878" max="15878" width="12.88671875" style="359" bestFit="1" customWidth="1"/>
    <col min="15879" max="15879" width="16.44140625" style="359" customWidth="1"/>
    <col min="15880" max="16129" width="8.88671875" style="359"/>
    <col min="16130" max="16130" width="12" style="359" customWidth="1"/>
    <col min="16131" max="16131" width="16.109375" style="359" customWidth="1"/>
    <col min="16132" max="16132" width="10.33203125" style="359" bestFit="1" customWidth="1"/>
    <col min="16133" max="16133" width="8.88671875" style="359"/>
    <col min="16134" max="16134" width="12.88671875" style="359" bestFit="1" customWidth="1"/>
    <col min="16135" max="16135" width="16.44140625" style="359" customWidth="1"/>
    <col min="16136" max="16384" width="8.88671875" style="359"/>
  </cols>
  <sheetData>
    <row r="1" spans="1:5" ht="21">
      <c r="A1" s="1001" t="s">
        <v>197</v>
      </c>
      <c r="B1" s="1001"/>
      <c r="C1" s="1001"/>
      <c r="D1" s="1001"/>
      <c r="E1" s="1001"/>
    </row>
    <row r="2" spans="1:5" ht="13.2">
      <c r="A2" s="1003" t="s">
        <v>230</v>
      </c>
      <c r="B2" s="1003"/>
      <c r="C2" s="1003"/>
      <c r="D2" s="1003"/>
      <c r="E2" s="1003"/>
    </row>
    <row r="3" spans="1:5">
      <c r="B3" s="1003" t="s">
        <v>231</v>
      </c>
      <c r="C3" s="1003"/>
    </row>
    <row r="5" spans="1:5">
      <c r="B5" s="359" t="s">
        <v>232</v>
      </c>
      <c r="C5" s="360">
        <v>91446.52</v>
      </c>
    </row>
    <row r="6" spans="1:5">
      <c r="B6" s="359" t="s">
        <v>233</v>
      </c>
      <c r="C6" s="360">
        <v>38232.42</v>
      </c>
    </row>
    <row r="7" spans="1:5">
      <c r="B7" s="359" t="s">
        <v>234</v>
      </c>
      <c r="C7" s="360">
        <v>8491.2900000000009</v>
      </c>
    </row>
    <row r="8" spans="1:5">
      <c r="B8" s="359" t="s">
        <v>235</v>
      </c>
      <c r="C8" s="360">
        <v>50946.25</v>
      </c>
    </row>
    <row r="9" spans="1:5">
      <c r="B9" s="359" t="s">
        <v>236</v>
      </c>
      <c r="C9" s="360">
        <v>7201.45</v>
      </c>
    </row>
    <row r="10" spans="1:5">
      <c r="B10" s="359" t="s">
        <v>237</v>
      </c>
      <c r="C10" s="360">
        <v>119507.21</v>
      </c>
    </row>
    <row r="11" spans="1:5">
      <c r="B11" s="359" t="s">
        <v>238</v>
      </c>
      <c r="C11" s="360">
        <v>6695.99</v>
      </c>
    </row>
    <row r="12" spans="1:5">
      <c r="B12" s="359" t="s">
        <v>239</v>
      </c>
      <c r="C12" s="360">
        <v>45761.58</v>
      </c>
    </row>
    <row r="13" spans="1:5">
      <c r="B13" s="359" t="s">
        <v>240</v>
      </c>
      <c r="C13" s="360">
        <v>22558.53</v>
      </c>
    </row>
    <row r="14" spans="1:5">
      <c r="B14" s="359" t="s">
        <v>241</v>
      </c>
      <c r="C14" s="360">
        <v>64598.07</v>
      </c>
    </row>
    <row r="15" spans="1:5">
      <c r="B15" s="359" t="s">
        <v>242</v>
      </c>
      <c r="C15" s="360">
        <v>39462.870000000003</v>
      </c>
    </row>
    <row r="16" spans="1:5">
      <c r="B16" s="359" t="s">
        <v>243</v>
      </c>
      <c r="C16" s="360">
        <v>19957.12</v>
      </c>
    </row>
    <row r="17" spans="2:7">
      <c r="B17" s="359" t="s">
        <v>244</v>
      </c>
      <c r="C17" s="360">
        <v>56684.800000000003</v>
      </c>
    </row>
    <row r="18" spans="2:7">
      <c r="B18" s="359" t="s">
        <v>245</v>
      </c>
      <c r="C18" s="360">
        <v>19616.25</v>
      </c>
    </row>
    <row r="19" spans="2:7">
      <c r="C19" s="360">
        <f>SUM(C5:C18)</f>
        <v>591160.35</v>
      </c>
      <c r="D19" s="360">
        <f>+C19*1.5%</f>
        <v>8867.4052499999998</v>
      </c>
      <c r="E19" s="366">
        <v>1.4999999999999999E-2</v>
      </c>
      <c r="F19" s="359" t="s">
        <v>246</v>
      </c>
    </row>
    <row r="20" spans="2:7">
      <c r="D20" s="360">
        <f>+ROUND(D19*23.8%,2)</f>
        <v>2110.44</v>
      </c>
    </row>
    <row r="21" spans="2:7">
      <c r="D21" s="360">
        <f>+ROUND(D19*8.5%,2)</f>
        <v>753.73</v>
      </c>
    </row>
    <row r="22" spans="2:7">
      <c r="D22" s="360">
        <f>SUM(D19:D21)</f>
        <v>11731.57525</v>
      </c>
    </row>
    <row r="27" spans="2:7">
      <c r="B27" s="359" t="s">
        <v>247</v>
      </c>
      <c r="F27" s="359" t="s">
        <v>248</v>
      </c>
    </row>
    <row r="29" spans="2:7">
      <c r="B29" s="359" t="s">
        <v>249</v>
      </c>
      <c r="C29" s="360">
        <v>743953.68</v>
      </c>
      <c r="G29" s="360">
        <v>1152717.3799999999</v>
      </c>
    </row>
    <row r="30" spans="2:7">
      <c r="B30" s="359" t="s">
        <v>250</v>
      </c>
      <c r="C30" s="360">
        <v>3244863.34</v>
      </c>
      <c r="F30" s="360"/>
    </row>
    <row r="31" spans="2:7">
      <c r="B31" s="359" t="s">
        <v>251</v>
      </c>
      <c r="C31" s="360">
        <v>437863.51</v>
      </c>
      <c r="F31" s="359" t="s">
        <v>252</v>
      </c>
    </row>
    <row r="32" spans="2:7">
      <c r="C32" s="360">
        <f>SUM(C29:C31)</f>
        <v>4426680.53</v>
      </c>
      <c r="F32" s="367">
        <f>+G29</f>
        <v>1152717.3799999999</v>
      </c>
      <c r="G32" s="368" t="s">
        <v>253</v>
      </c>
    </row>
    <row r="33" spans="3:6">
      <c r="F33" s="364">
        <f>+C32</f>
        <v>4426680.53</v>
      </c>
    </row>
    <row r="36" spans="3:6">
      <c r="C36" s="360" t="s">
        <v>254</v>
      </c>
    </row>
    <row r="37" spans="3:6">
      <c r="C37" s="360" t="s">
        <v>255</v>
      </c>
    </row>
  </sheetData>
  <mergeCells count="3">
    <mergeCell ref="A1:E1"/>
    <mergeCell ref="A2:E2"/>
    <mergeCell ref="B3:C3"/>
  </mergeCells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Foglio31">
    <pageSetUpPr fitToPage="1"/>
  </sheetPr>
  <dimension ref="A1:N57"/>
  <sheetViews>
    <sheetView topLeftCell="A10" workbookViewId="0">
      <pane xSplit="21180" topLeftCell="T1"/>
      <selection activeCell="F57" sqref="F57"/>
      <selection pane="topRight" activeCell="T1" sqref="T1"/>
    </sheetView>
  </sheetViews>
  <sheetFormatPr defaultRowHeight="14.4"/>
  <cols>
    <col min="1" max="1" width="8.88671875" style="359"/>
    <col min="2" max="2" width="29.6640625" style="359" customWidth="1"/>
    <col min="3" max="3" width="25.109375" style="359" customWidth="1"/>
    <col min="4" max="4" width="21.44140625" style="360" customWidth="1"/>
    <col min="5" max="6" width="10.33203125" style="359" bestFit="1" customWidth="1"/>
    <col min="7" max="257" width="8.88671875" style="359"/>
    <col min="258" max="258" width="29.6640625" style="359" customWidth="1"/>
    <col min="259" max="259" width="25.109375" style="359" customWidth="1"/>
    <col min="260" max="260" width="21.44140625" style="359" customWidth="1"/>
    <col min="261" max="262" width="10.33203125" style="359" bestFit="1" customWidth="1"/>
    <col min="263" max="513" width="8.88671875" style="359"/>
    <col min="514" max="514" width="29.6640625" style="359" customWidth="1"/>
    <col min="515" max="515" width="25.109375" style="359" customWidth="1"/>
    <col min="516" max="516" width="21.44140625" style="359" customWidth="1"/>
    <col min="517" max="518" width="10.33203125" style="359" bestFit="1" customWidth="1"/>
    <col min="519" max="769" width="8.88671875" style="359"/>
    <col min="770" max="770" width="29.6640625" style="359" customWidth="1"/>
    <col min="771" max="771" width="25.109375" style="359" customWidth="1"/>
    <col min="772" max="772" width="21.44140625" style="359" customWidth="1"/>
    <col min="773" max="774" width="10.33203125" style="359" bestFit="1" customWidth="1"/>
    <col min="775" max="1025" width="8.88671875" style="359"/>
    <col min="1026" max="1026" width="29.6640625" style="359" customWidth="1"/>
    <col min="1027" max="1027" width="25.109375" style="359" customWidth="1"/>
    <col min="1028" max="1028" width="21.44140625" style="359" customWidth="1"/>
    <col min="1029" max="1030" width="10.33203125" style="359" bestFit="1" customWidth="1"/>
    <col min="1031" max="1281" width="8.88671875" style="359"/>
    <col min="1282" max="1282" width="29.6640625" style="359" customWidth="1"/>
    <col min="1283" max="1283" width="25.109375" style="359" customWidth="1"/>
    <col min="1284" max="1284" width="21.44140625" style="359" customWidth="1"/>
    <col min="1285" max="1286" width="10.33203125" style="359" bestFit="1" customWidth="1"/>
    <col min="1287" max="1537" width="8.88671875" style="359"/>
    <col min="1538" max="1538" width="29.6640625" style="359" customWidth="1"/>
    <col min="1539" max="1539" width="25.109375" style="359" customWidth="1"/>
    <col min="1540" max="1540" width="21.44140625" style="359" customWidth="1"/>
    <col min="1541" max="1542" width="10.33203125" style="359" bestFit="1" customWidth="1"/>
    <col min="1543" max="1793" width="8.88671875" style="359"/>
    <col min="1794" max="1794" width="29.6640625" style="359" customWidth="1"/>
    <col min="1795" max="1795" width="25.109375" style="359" customWidth="1"/>
    <col min="1796" max="1796" width="21.44140625" style="359" customWidth="1"/>
    <col min="1797" max="1798" width="10.33203125" style="359" bestFit="1" customWidth="1"/>
    <col min="1799" max="2049" width="8.88671875" style="359"/>
    <col min="2050" max="2050" width="29.6640625" style="359" customWidth="1"/>
    <col min="2051" max="2051" width="25.109375" style="359" customWidth="1"/>
    <col min="2052" max="2052" width="21.44140625" style="359" customWidth="1"/>
    <col min="2053" max="2054" width="10.33203125" style="359" bestFit="1" customWidth="1"/>
    <col min="2055" max="2305" width="8.88671875" style="359"/>
    <col min="2306" max="2306" width="29.6640625" style="359" customWidth="1"/>
    <col min="2307" max="2307" width="25.109375" style="359" customWidth="1"/>
    <col min="2308" max="2308" width="21.44140625" style="359" customWidth="1"/>
    <col min="2309" max="2310" width="10.33203125" style="359" bestFit="1" customWidth="1"/>
    <col min="2311" max="2561" width="8.88671875" style="359"/>
    <col min="2562" max="2562" width="29.6640625" style="359" customWidth="1"/>
    <col min="2563" max="2563" width="25.109375" style="359" customWidth="1"/>
    <col min="2564" max="2564" width="21.44140625" style="359" customWidth="1"/>
    <col min="2565" max="2566" width="10.33203125" style="359" bestFit="1" customWidth="1"/>
    <col min="2567" max="2817" width="8.88671875" style="359"/>
    <col min="2818" max="2818" width="29.6640625" style="359" customWidth="1"/>
    <col min="2819" max="2819" width="25.109375" style="359" customWidth="1"/>
    <col min="2820" max="2820" width="21.44140625" style="359" customWidth="1"/>
    <col min="2821" max="2822" width="10.33203125" style="359" bestFit="1" customWidth="1"/>
    <col min="2823" max="3073" width="8.88671875" style="359"/>
    <col min="3074" max="3074" width="29.6640625" style="359" customWidth="1"/>
    <col min="3075" max="3075" width="25.109375" style="359" customWidth="1"/>
    <col min="3076" max="3076" width="21.44140625" style="359" customWidth="1"/>
    <col min="3077" max="3078" width="10.33203125" style="359" bestFit="1" customWidth="1"/>
    <col min="3079" max="3329" width="8.88671875" style="359"/>
    <col min="3330" max="3330" width="29.6640625" style="359" customWidth="1"/>
    <col min="3331" max="3331" width="25.109375" style="359" customWidth="1"/>
    <col min="3332" max="3332" width="21.44140625" style="359" customWidth="1"/>
    <col min="3333" max="3334" width="10.33203125" style="359" bestFit="1" customWidth="1"/>
    <col min="3335" max="3585" width="8.88671875" style="359"/>
    <col min="3586" max="3586" width="29.6640625" style="359" customWidth="1"/>
    <col min="3587" max="3587" width="25.109375" style="359" customWidth="1"/>
    <col min="3588" max="3588" width="21.44140625" style="359" customWidth="1"/>
    <col min="3589" max="3590" width="10.33203125" style="359" bestFit="1" customWidth="1"/>
    <col min="3591" max="3841" width="8.88671875" style="359"/>
    <col min="3842" max="3842" width="29.6640625" style="359" customWidth="1"/>
    <col min="3843" max="3843" width="25.109375" style="359" customWidth="1"/>
    <col min="3844" max="3844" width="21.44140625" style="359" customWidth="1"/>
    <col min="3845" max="3846" width="10.33203125" style="359" bestFit="1" customWidth="1"/>
    <col min="3847" max="4097" width="8.88671875" style="359"/>
    <col min="4098" max="4098" width="29.6640625" style="359" customWidth="1"/>
    <col min="4099" max="4099" width="25.109375" style="359" customWidth="1"/>
    <col min="4100" max="4100" width="21.44140625" style="359" customWidth="1"/>
    <col min="4101" max="4102" width="10.33203125" style="359" bestFit="1" customWidth="1"/>
    <col min="4103" max="4353" width="8.88671875" style="359"/>
    <col min="4354" max="4354" width="29.6640625" style="359" customWidth="1"/>
    <col min="4355" max="4355" width="25.109375" style="359" customWidth="1"/>
    <col min="4356" max="4356" width="21.44140625" style="359" customWidth="1"/>
    <col min="4357" max="4358" width="10.33203125" style="359" bestFit="1" customWidth="1"/>
    <col min="4359" max="4609" width="8.88671875" style="359"/>
    <col min="4610" max="4610" width="29.6640625" style="359" customWidth="1"/>
    <col min="4611" max="4611" width="25.109375" style="359" customWidth="1"/>
    <col min="4612" max="4612" width="21.44140625" style="359" customWidth="1"/>
    <col min="4613" max="4614" width="10.33203125" style="359" bestFit="1" customWidth="1"/>
    <col min="4615" max="4865" width="8.88671875" style="359"/>
    <col min="4866" max="4866" width="29.6640625" style="359" customWidth="1"/>
    <col min="4867" max="4867" width="25.109375" style="359" customWidth="1"/>
    <col min="4868" max="4868" width="21.44140625" style="359" customWidth="1"/>
    <col min="4869" max="4870" width="10.33203125" style="359" bestFit="1" customWidth="1"/>
    <col min="4871" max="5121" width="8.88671875" style="359"/>
    <col min="5122" max="5122" width="29.6640625" style="359" customWidth="1"/>
    <col min="5123" max="5123" width="25.109375" style="359" customWidth="1"/>
    <col min="5124" max="5124" width="21.44140625" style="359" customWidth="1"/>
    <col min="5125" max="5126" width="10.33203125" style="359" bestFit="1" customWidth="1"/>
    <col min="5127" max="5377" width="8.88671875" style="359"/>
    <col min="5378" max="5378" width="29.6640625" style="359" customWidth="1"/>
    <col min="5379" max="5379" width="25.109375" style="359" customWidth="1"/>
    <col min="5380" max="5380" width="21.44140625" style="359" customWidth="1"/>
    <col min="5381" max="5382" width="10.33203125" style="359" bestFit="1" customWidth="1"/>
    <col min="5383" max="5633" width="8.88671875" style="359"/>
    <col min="5634" max="5634" width="29.6640625" style="359" customWidth="1"/>
    <col min="5635" max="5635" width="25.109375" style="359" customWidth="1"/>
    <col min="5636" max="5636" width="21.44140625" style="359" customWidth="1"/>
    <col min="5637" max="5638" width="10.33203125" style="359" bestFit="1" customWidth="1"/>
    <col min="5639" max="5889" width="8.88671875" style="359"/>
    <col min="5890" max="5890" width="29.6640625" style="359" customWidth="1"/>
    <col min="5891" max="5891" width="25.109375" style="359" customWidth="1"/>
    <col min="5892" max="5892" width="21.44140625" style="359" customWidth="1"/>
    <col min="5893" max="5894" width="10.33203125" style="359" bestFit="1" customWidth="1"/>
    <col min="5895" max="6145" width="8.88671875" style="359"/>
    <col min="6146" max="6146" width="29.6640625" style="359" customWidth="1"/>
    <col min="6147" max="6147" width="25.109375" style="359" customWidth="1"/>
    <col min="6148" max="6148" width="21.44140625" style="359" customWidth="1"/>
    <col min="6149" max="6150" width="10.33203125" style="359" bestFit="1" customWidth="1"/>
    <col min="6151" max="6401" width="8.88671875" style="359"/>
    <col min="6402" max="6402" width="29.6640625" style="359" customWidth="1"/>
    <col min="6403" max="6403" width="25.109375" style="359" customWidth="1"/>
    <col min="6404" max="6404" width="21.44140625" style="359" customWidth="1"/>
    <col min="6405" max="6406" width="10.33203125" style="359" bestFit="1" customWidth="1"/>
    <col min="6407" max="6657" width="8.88671875" style="359"/>
    <col min="6658" max="6658" width="29.6640625" style="359" customWidth="1"/>
    <col min="6659" max="6659" width="25.109375" style="359" customWidth="1"/>
    <col min="6660" max="6660" width="21.44140625" style="359" customWidth="1"/>
    <col min="6661" max="6662" width="10.33203125" style="359" bestFit="1" customWidth="1"/>
    <col min="6663" max="6913" width="8.88671875" style="359"/>
    <col min="6914" max="6914" width="29.6640625" style="359" customWidth="1"/>
    <col min="6915" max="6915" width="25.109375" style="359" customWidth="1"/>
    <col min="6916" max="6916" width="21.44140625" style="359" customWidth="1"/>
    <col min="6917" max="6918" width="10.33203125" style="359" bestFit="1" customWidth="1"/>
    <col min="6919" max="7169" width="8.88671875" style="359"/>
    <col min="7170" max="7170" width="29.6640625" style="359" customWidth="1"/>
    <col min="7171" max="7171" width="25.109375" style="359" customWidth="1"/>
    <col min="7172" max="7172" width="21.44140625" style="359" customWidth="1"/>
    <col min="7173" max="7174" width="10.33203125" style="359" bestFit="1" customWidth="1"/>
    <col min="7175" max="7425" width="8.88671875" style="359"/>
    <col min="7426" max="7426" width="29.6640625" style="359" customWidth="1"/>
    <col min="7427" max="7427" width="25.109375" style="359" customWidth="1"/>
    <col min="7428" max="7428" width="21.44140625" style="359" customWidth="1"/>
    <col min="7429" max="7430" width="10.33203125" style="359" bestFit="1" customWidth="1"/>
    <col min="7431" max="7681" width="8.88671875" style="359"/>
    <col min="7682" max="7682" width="29.6640625" style="359" customWidth="1"/>
    <col min="7683" max="7683" width="25.109375" style="359" customWidth="1"/>
    <col min="7684" max="7684" width="21.44140625" style="359" customWidth="1"/>
    <col min="7685" max="7686" width="10.33203125" style="359" bestFit="1" customWidth="1"/>
    <col min="7687" max="7937" width="8.88671875" style="359"/>
    <col min="7938" max="7938" width="29.6640625" style="359" customWidth="1"/>
    <col min="7939" max="7939" width="25.109375" style="359" customWidth="1"/>
    <col min="7940" max="7940" width="21.44140625" style="359" customWidth="1"/>
    <col min="7941" max="7942" width="10.33203125" style="359" bestFit="1" customWidth="1"/>
    <col min="7943" max="8193" width="8.88671875" style="359"/>
    <col min="8194" max="8194" width="29.6640625" style="359" customWidth="1"/>
    <col min="8195" max="8195" width="25.109375" style="359" customWidth="1"/>
    <col min="8196" max="8196" width="21.44140625" style="359" customWidth="1"/>
    <col min="8197" max="8198" width="10.33203125" style="359" bestFit="1" customWidth="1"/>
    <col min="8199" max="8449" width="8.88671875" style="359"/>
    <col min="8450" max="8450" width="29.6640625" style="359" customWidth="1"/>
    <col min="8451" max="8451" width="25.109375" style="359" customWidth="1"/>
    <col min="8452" max="8452" width="21.44140625" style="359" customWidth="1"/>
    <col min="8453" max="8454" width="10.33203125" style="359" bestFit="1" customWidth="1"/>
    <col min="8455" max="8705" width="8.88671875" style="359"/>
    <col min="8706" max="8706" width="29.6640625" style="359" customWidth="1"/>
    <col min="8707" max="8707" width="25.109375" style="359" customWidth="1"/>
    <col min="8708" max="8708" width="21.44140625" style="359" customWidth="1"/>
    <col min="8709" max="8710" width="10.33203125" style="359" bestFit="1" customWidth="1"/>
    <col min="8711" max="8961" width="8.88671875" style="359"/>
    <col min="8962" max="8962" width="29.6640625" style="359" customWidth="1"/>
    <col min="8963" max="8963" width="25.109375" style="359" customWidth="1"/>
    <col min="8964" max="8964" width="21.44140625" style="359" customWidth="1"/>
    <col min="8965" max="8966" width="10.33203125" style="359" bestFit="1" customWidth="1"/>
    <col min="8967" max="9217" width="8.88671875" style="359"/>
    <col min="9218" max="9218" width="29.6640625" style="359" customWidth="1"/>
    <col min="9219" max="9219" width="25.109375" style="359" customWidth="1"/>
    <col min="9220" max="9220" width="21.44140625" style="359" customWidth="1"/>
    <col min="9221" max="9222" width="10.33203125" style="359" bestFit="1" customWidth="1"/>
    <col min="9223" max="9473" width="8.88671875" style="359"/>
    <col min="9474" max="9474" width="29.6640625" style="359" customWidth="1"/>
    <col min="9475" max="9475" width="25.109375" style="359" customWidth="1"/>
    <col min="9476" max="9476" width="21.44140625" style="359" customWidth="1"/>
    <col min="9477" max="9478" width="10.33203125" style="359" bestFit="1" customWidth="1"/>
    <col min="9479" max="9729" width="8.88671875" style="359"/>
    <col min="9730" max="9730" width="29.6640625" style="359" customWidth="1"/>
    <col min="9731" max="9731" width="25.109375" style="359" customWidth="1"/>
    <col min="9732" max="9732" width="21.44140625" style="359" customWidth="1"/>
    <col min="9733" max="9734" width="10.33203125" style="359" bestFit="1" customWidth="1"/>
    <col min="9735" max="9985" width="8.88671875" style="359"/>
    <col min="9986" max="9986" width="29.6640625" style="359" customWidth="1"/>
    <col min="9987" max="9987" width="25.109375" style="359" customWidth="1"/>
    <col min="9988" max="9988" width="21.44140625" style="359" customWidth="1"/>
    <col min="9989" max="9990" width="10.33203125" style="359" bestFit="1" customWidth="1"/>
    <col min="9991" max="10241" width="8.88671875" style="359"/>
    <col min="10242" max="10242" width="29.6640625" style="359" customWidth="1"/>
    <col min="10243" max="10243" width="25.109375" style="359" customWidth="1"/>
    <col min="10244" max="10244" width="21.44140625" style="359" customWidth="1"/>
    <col min="10245" max="10246" width="10.33203125" style="359" bestFit="1" customWidth="1"/>
    <col min="10247" max="10497" width="8.88671875" style="359"/>
    <col min="10498" max="10498" width="29.6640625" style="359" customWidth="1"/>
    <col min="10499" max="10499" width="25.109375" style="359" customWidth="1"/>
    <col min="10500" max="10500" width="21.44140625" style="359" customWidth="1"/>
    <col min="10501" max="10502" width="10.33203125" style="359" bestFit="1" customWidth="1"/>
    <col min="10503" max="10753" width="8.88671875" style="359"/>
    <col min="10754" max="10754" width="29.6640625" style="359" customWidth="1"/>
    <col min="10755" max="10755" width="25.109375" style="359" customWidth="1"/>
    <col min="10756" max="10756" width="21.44140625" style="359" customWidth="1"/>
    <col min="10757" max="10758" width="10.33203125" style="359" bestFit="1" customWidth="1"/>
    <col min="10759" max="11009" width="8.88671875" style="359"/>
    <col min="11010" max="11010" width="29.6640625" style="359" customWidth="1"/>
    <col min="11011" max="11011" width="25.109375" style="359" customWidth="1"/>
    <col min="11012" max="11012" width="21.44140625" style="359" customWidth="1"/>
    <col min="11013" max="11014" width="10.33203125" style="359" bestFit="1" customWidth="1"/>
    <col min="11015" max="11265" width="8.88671875" style="359"/>
    <col min="11266" max="11266" width="29.6640625" style="359" customWidth="1"/>
    <col min="11267" max="11267" width="25.109375" style="359" customWidth="1"/>
    <col min="11268" max="11268" width="21.44140625" style="359" customWidth="1"/>
    <col min="11269" max="11270" width="10.33203125" style="359" bestFit="1" customWidth="1"/>
    <col min="11271" max="11521" width="8.88671875" style="359"/>
    <col min="11522" max="11522" width="29.6640625" style="359" customWidth="1"/>
    <col min="11523" max="11523" width="25.109375" style="359" customWidth="1"/>
    <col min="11524" max="11524" width="21.44140625" style="359" customWidth="1"/>
    <col min="11525" max="11526" width="10.33203125" style="359" bestFit="1" customWidth="1"/>
    <col min="11527" max="11777" width="8.88671875" style="359"/>
    <col min="11778" max="11778" width="29.6640625" style="359" customWidth="1"/>
    <col min="11779" max="11779" width="25.109375" style="359" customWidth="1"/>
    <col min="11780" max="11780" width="21.44140625" style="359" customWidth="1"/>
    <col min="11781" max="11782" width="10.33203125" style="359" bestFit="1" customWidth="1"/>
    <col min="11783" max="12033" width="8.88671875" style="359"/>
    <col min="12034" max="12034" width="29.6640625" style="359" customWidth="1"/>
    <col min="12035" max="12035" width="25.109375" style="359" customWidth="1"/>
    <col min="12036" max="12036" width="21.44140625" style="359" customWidth="1"/>
    <col min="12037" max="12038" width="10.33203125" style="359" bestFit="1" customWidth="1"/>
    <col min="12039" max="12289" width="8.88671875" style="359"/>
    <col min="12290" max="12290" width="29.6640625" style="359" customWidth="1"/>
    <col min="12291" max="12291" width="25.109375" style="359" customWidth="1"/>
    <col min="12292" max="12292" width="21.44140625" style="359" customWidth="1"/>
    <col min="12293" max="12294" width="10.33203125" style="359" bestFit="1" customWidth="1"/>
    <col min="12295" max="12545" width="8.88671875" style="359"/>
    <col min="12546" max="12546" width="29.6640625" style="359" customWidth="1"/>
    <col min="12547" max="12547" width="25.109375" style="359" customWidth="1"/>
    <col min="12548" max="12548" width="21.44140625" style="359" customWidth="1"/>
    <col min="12549" max="12550" width="10.33203125" style="359" bestFit="1" customWidth="1"/>
    <col min="12551" max="12801" width="8.88671875" style="359"/>
    <col min="12802" max="12802" width="29.6640625" style="359" customWidth="1"/>
    <col min="12803" max="12803" width="25.109375" style="359" customWidth="1"/>
    <col min="12804" max="12804" width="21.44140625" style="359" customWidth="1"/>
    <col min="12805" max="12806" width="10.33203125" style="359" bestFit="1" customWidth="1"/>
    <col min="12807" max="13057" width="8.88671875" style="359"/>
    <col min="13058" max="13058" width="29.6640625" style="359" customWidth="1"/>
    <col min="13059" max="13059" width="25.109375" style="359" customWidth="1"/>
    <col min="13060" max="13060" width="21.44140625" style="359" customWidth="1"/>
    <col min="13061" max="13062" width="10.33203125" style="359" bestFit="1" customWidth="1"/>
    <col min="13063" max="13313" width="8.88671875" style="359"/>
    <col min="13314" max="13314" width="29.6640625" style="359" customWidth="1"/>
    <col min="13315" max="13315" width="25.109375" style="359" customWidth="1"/>
    <col min="13316" max="13316" width="21.44140625" style="359" customWidth="1"/>
    <col min="13317" max="13318" width="10.33203125" style="359" bestFit="1" customWidth="1"/>
    <col min="13319" max="13569" width="8.88671875" style="359"/>
    <col min="13570" max="13570" width="29.6640625" style="359" customWidth="1"/>
    <col min="13571" max="13571" width="25.109375" style="359" customWidth="1"/>
    <col min="13572" max="13572" width="21.44140625" style="359" customWidth="1"/>
    <col min="13573" max="13574" width="10.33203125" style="359" bestFit="1" customWidth="1"/>
    <col min="13575" max="13825" width="8.88671875" style="359"/>
    <col min="13826" max="13826" width="29.6640625" style="359" customWidth="1"/>
    <col min="13827" max="13827" width="25.109375" style="359" customWidth="1"/>
    <col min="13828" max="13828" width="21.44140625" style="359" customWidth="1"/>
    <col min="13829" max="13830" width="10.33203125" style="359" bestFit="1" customWidth="1"/>
    <col min="13831" max="14081" width="8.88671875" style="359"/>
    <col min="14082" max="14082" width="29.6640625" style="359" customWidth="1"/>
    <col min="14083" max="14083" width="25.109375" style="359" customWidth="1"/>
    <col min="14084" max="14084" width="21.44140625" style="359" customWidth="1"/>
    <col min="14085" max="14086" width="10.33203125" style="359" bestFit="1" customWidth="1"/>
    <col min="14087" max="14337" width="8.88671875" style="359"/>
    <col min="14338" max="14338" width="29.6640625" style="359" customWidth="1"/>
    <col min="14339" max="14339" width="25.109375" style="359" customWidth="1"/>
    <col min="14340" max="14340" width="21.44140625" style="359" customWidth="1"/>
    <col min="14341" max="14342" width="10.33203125" style="359" bestFit="1" customWidth="1"/>
    <col min="14343" max="14593" width="8.88671875" style="359"/>
    <col min="14594" max="14594" width="29.6640625" style="359" customWidth="1"/>
    <col min="14595" max="14595" width="25.109375" style="359" customWidth="1"/>
    <col min="14596" max="14596" width="21.44140625" style="359" customWidth="1"/>
    <col min="14597" max="14598" width="10.33203125" style="359" bestFit="1" customWidth="1"/>
    <col min="14599" max="14849" width="8.88671875" style="359"/>
    <col min="14850" max="14850" width="29.6640625" style="359" customWidth="1"/>
    <col min="14851" max="14851" width="25.109375" style="359" customWidth="1"/>
    <col min="14852" max="14852" width="21.44140625" style="359" customWidth="1"/>
    <col min="14853" max="14854" width="10.33203125" style="359" bestFit="1" customWidth="1"/>
    <col min="14855" max="15105" width="8.88671875" style="359"/>
    <col min="15106" max="15106" width="29.6640625" style="359" customWidth="1"/>
    <col min="15107" max="15107" width="25.109375" style="359" customWidth="1"/>
    <col min="15108" max="15108" width="21.44140625" style="359" customWidth="1"/>
    <col min="15109" max="15110" width="10.33203125" style="359" bestFit="1" customWidth="1"/>
    <col min="15111" max="15361" width="8.88671875" style="359"/>
    <col min="15362" max="15362" width="29.6640625" style="359" customWidth="1"/>
    <col min="15363" max="15363" width="25.109375" style="359" customWidth="1"/>
    <col min="15364" max="15364" width="21.44140625" style="359" customWidth="1"/>
    <col min="15365" max="15366" width="10.33203125" style="359" bestFit="1" customWidth="1"/>
    <col min="15367" max="15617" width="8.88671875" style="359"/>
    <col min="15618" max="15618" width="29.6640625" style="359" customWidth="1"/>
    <col min="15619" max="15619" width="25.109375" style="359" customWidth="1"/>
    <col min="15620" max="15620" width="21.44140625" style="359" customWidth="1"/>
    <col min="15621" max="15622" width="10.33203125" style="359" bestFit="1" customWidth="1"/>
    <col min="15623" max="15873" width="8.88671875" style="359"/>
    <col min="15874" max="15874" width="29.6640625" style="359" customWidth="1"/>
    <col min="15875" max="15875" width="25.109375" style="359" customWidth="1"/>
    <col min="15876" max="15876" width="21.44140625" style="359" customWidth="1"/>
    <col min="15877" max="15878" width="10.33203125" style="359" bestFit="1" customWidth="1"/>
    <col min="15879" max="16129" width="8.88671875" style="359"/>
    <col min="16130" max="16130" width="29.6640625" style="359" customWidth="1"/>
    <col min="16131" max="16131" width="25.109375" style="359" customWidth="1"/>
    <col min="16132" max="16132" width="21.44140625" style="359" customWidth="1"/>
    <col min="16133" max="16134" width="10.33203125" style="359" bestFit="1" customWidth="1"/>
    <col min="16135" max="16384" width="8.88671875" style="359"/>
  </cols>
  <sheetData>
    <row r="1" spans="1:14" ht="24.6">
      <c r="B1" s="1008" t="s">
        <v>197</v>
      </c>
      <c r="C1" s="1008"/>
      <c r="D1" s="1008"/>
      <c r="E1" s="383"/>
    </row>
    <row r="2" spans="1:14" ht="17.399999999999999">
      <c r="B2" s="384"/>
      <c r="C2" s="384"/>
      <c r="D2" s="385"/>
      <c r="E2" s="383"/>
    </row>
    <row r="3" spans="1:14">
      <c r="B3" s="386" t="s">
        <v>294</v>
      </c>
      <c r="C3" s="387"/>
    </row>
    <row r="4" spans="1:14">
      <c r="B4" s="386"/>
      <c r="C4" s="387"/>
    </row>
    <row r="5" spans="1:14" ht="15.6">
      <c r="B5" s="1009" t="s">
        <v>295</v>
      </c>
      <c r="C5" s="1009"/>
      <c r="D5" s="1009"/>
    </row>
    <row r="6" spans="1:14" ht="16.2" thickBot="1"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1:14" ht="18.75" customHeight="1" thickBot="1">
      <c r="B7" s="1004" t="s">
        <v>296</v>
      </c>
      <c r="C7" s="1005"/>
      <c r="D7" s="1006" t="s">
        <v>297</v>
      </c>
    </row>
    <row r="8" spans="1:14" ht="13.8" thickBot="1">
      <c r="B8" s="389" t="s">
        <v>298</v>
      </c>
      <c r="C8" s="390" t="s">
        <v>299</v>
      </c>
      <c r="D8" s="1007"/>
      <c r="E8" s="391"/>
    </row>
    <row r="9" spans="1:14" ht="13.2">
      <c r="B9" s="392"/>
      <c r="C9" s="393"/>
      <c r="D9" s="394">
        <f t="shared" ref="D9:D16" si="0">+SUM(C9:C9)</f>
        <v>0</v>
      </c>
      <c r="E9" s="391"/>
    </row>
    <row r="10" spans="1:14" ht="14.1" customHeight="1">
      <c r="A10" s="359">
        <v>1</v>
      </c>
      <c r="B10" s="395" t="s">
        <v>203</v>
      </c>
      <c r="C10" s="396">
        <f>+'[2]proiez PROGR.ORIZZ.2002-200 (2)'!N42</f>
        <v>796.90999999999985</v>
      </c>
      <c r="D10" s="394">
        <f t="shared" si="0"/>
        <v>796.90999999999985</v>
      </c>
      <c r="E10" s="391"/>
      <c r="F10" s="397"/>
    </row>
    <row r="11" spans="1:14" ht="14.1" customHeight="1">
      <c r="A11" s="359">
        <v>1</v>
      </c>
      <c r="B11" s="395" t="s">
        <v>216</v>
      </c>
      <c r="C11" s="396">
        <f>+'[2]proiez PROGR.ORIZZ.2002-200 (2)'!N50</f>
        <v>701.45</v>
      </c>
      <c r="D11" s="394">
        <f t="shared" si="0"/>
        <v>701.45</v>
      </c>
      <c r="E11" s="391"/>
    </row>
    <row r="12" spans="1:14" ht="14.1" customHeight="1">
      <c r="A12" s="359">
        <v>1</v>
      </c>
      <c r="B12" s="395" t="s">
        <v>207</v>
      </c>
      <c r="C12" s="396">
        <f>+'[2]proiez PROGR.ORIZZ.2002-200 (2)'!N45</f>
        <v>310.81</v>
      </c>
      <c r="D12" s="394">
        <f t="shared" si="0"/>
        <v>310.81</v>
      </c>
      <c r="E12" s="391"/>
    </row>
    <row r="13" spans="1:14" ht="14.1" customHeight="1">
      <c r="A13" s="359">
        <v>1</v>
      </c>
      <c r="B13" s="395" t="s">
        <v>202</v>
      </c>
      <c r="C13" s="396">
        <f>+'[2]proiez PROGR.ORIZZ.2002-200 (2)'!N61</f>
        <v>1227.5299999999997</v>
      </c>
      <c r="D13" s="394">
        <f t="shared" si="0"/>
        <v>1227.5299999999997</v>
      </c>
      <c r="E13" s="391"/>
    </row>
    <row r="14" spans="1:14" ht="14.1" customHeight="1">
      <c r="A14" s="359">
        <v>1</v>
      </c>
      <c r="B14" s="395" t="s">
        <v>300</v>
      </c>
      <c r="C14" s="398">
        <f>+'[2]proiez PROGR.ORIZZ.2002-200 (2)'!N64</f>
        <v>502.35</v>
      </c>
      <c r="D14" s="394">
        <f t="shared" si="0"/>
        <v>502.35</v>
      </c>
      <c r="E14" s="391"/>
      <c r="F14" s="387"/>
    </row>
    <row r="15" spans="1:14" ht="14.1" customHeight="1">
      <c r="A15" s="359">
        <v>1</v>
      </c>
      <c r="B15" s="395" t="s">
        <v>301</v>
      </c>
      <c r="C15" s="396">
        <f>+'[2]proiez PROGR.ORIZZ.2002-200 (2)'!N44</f>
        <v>310.81</v>
      </c>
      <c r="D15" s="394">
        <f t="shared" si="0"/>
        <v>310.81</v>
      </c>
      <c r="E15" s="391"/>
      <c r="F15" s="364"/>
    </row>
    <row r="16" spans="1:14" ht="14.1" customHeight="1" thickBot="1">
      <c r="A16" s="359">
        <v>1</v>
      </c>
      <c r="B16" s="399" t="s">
        <v>217</v>
      </c>
      <c r="C16" s="400">
        <f>+'[2]proiez PROGR.ORIZZ.2002-200 (2)'!N51</f>
        <v>796.90999999999985</v>
      </c>
      <c r="D16" s="401">
        <f t="shared" si="0"/>
        <v>796.90999999999985</v>
      </c>
      <c r="E16" s="391"/>
    </row>
    <row r="17" spans="1:6" ht="14.1" customHeight="1" thickBot="1">
      <c r="B17" s="402" t="s">
        <v>24</v>
      </c>
      <c r="C17" s="403">
        <f>+SUM(C10:C16)</f>
        <v>4646.7699999999995</v>
      </c>
      <c r="D17" s="404">
        <f>+SUM(D10:D16)</f>
        <v>4646.7699999999995</v>
      </c>
      <c r="E17" s="391"/>
    </row>
    <row r="18" spans="1:6" ht="14.1" customHeight="1" thickBot="1">
      <c r="B18" s="405"/>
      <c r="C18" s="406"/>
      <c r="D18" s="407"/>
      <c r="E18" s="391"/>
    </row>
    <row r="19" spans="1:6" ht="14.1" customHeight="1" thickBot="1">
      <c r="B19" s="1004" t="s">
        <v>302</v>
      </c>
      <c r="C19" s="1005"/>
      <c r="D19" s="1006" t="s">
        <v>297</v>
      </c>
      <c r="E19" s="391"/>
    </row>
    <row r="20" spans="1:6" ht="26.25" customHeight="1" thickBot="1">
      <c r="B20" s="389" t="s">
        <v>298</v>
      </c>
      <c r="C20" s="390" t="s">
        <v>299</v>
      </c>
      <c r="D20" s="1007"/>
      <c r="E20" s="391"/>
    </row>
    <row r="21" spans="1:6" ht="14.1" customHeight="1">
      <c r="B21" s="392"/>
      <c r="C21" s="408"/>
      <c r="D21" s="409"/>
      <c r="E21" s="391"/>
    </row>
    <row r="22" spans="1:6" ht="14.1" customHeight="1">
      <c r="A22" s="359">
        <v>2</v>
      </c>
      <c r="B22" s="395" t="s">
        <v>303</v>
      </c>
      <c r="C22" s="396">
        <f>+'[2]proiez PROGR.ORIZZ.2002-200 (2)'!N49</f>
        <v>796.90999999999985</v>
      </c>
      <c r="D22" s="394">
        <f>+SUM(C22:C22)</f>
        <v>796.90999999999985</v>
      </c>
      <c r="E22" s="391"/>
    </row>
    <row r="23" spans="1:6" ht="14.1" customHeight="1">
      <c r="A23" s="359">
        <v>2</v>
      </c>
      <c r="B23" s="395" t="s">
        <v>304</v>
      </c>
      <c r="C23" s="396">
        <f>+'[2]proiez PROGR.ORIZZ.2002-200 (2)'!N46</f>
        <v>338.20000000000005</v>
      </c>
      <c r="D23" s="394">
        <f>+SUM(C23:C23)</f>
        <v>338.20000000000005</v>
      </c>
      <c r="E23" s="391"/>
    </row>
    <row r="24" spans="1:6" ht="14.1" customHeight="1" thickBot="1">
      <c r="A24" s="359">
        <v>2</v>
      </c>
      <c r="B24" s="399" t="s">
        <v>208</v>
      </c>
      <c r="C24" s="400">
        <f>+'[2]proiez PROGR.ORIZZ.2002-200 (2)'!N60</f>
        <v>1227.5299999999997</v>
      </c>
      <c r="D24" s="401">
        <f>+SUM(C24:C24)</f>
        <v>1227.5299999999997</v>
      </c>
      <c r="E24" s="391"/>
    </row>
    <row r="25" spans="1:6" ht="14.1" customHeight="1" thickBot="1">
      <c r="B25" s="402" t="s">
        <v>24</v>
      </c>
      <c r="C25" s="403">
        <f>+SUM(C22:C24)</f>
        <v>2362.6399999999994</v>
      </c>
      <c r="D25" s="404">
        <f>+SUM(D22:D24)</f>
        <v>2362.6399999999994</v>
      </c>
      <c r="E25" s="391"/>
    </row>
    <row r="26" spans="1:6" ht="14.1" customHeight="1">
      <c r="B26" s="405"/>
      <c r="C26" s="406"/>
      <c r="D26" s="407"/>
      <c r="E26" s="391"/>
    </row>
    <row r="27" spans="1:6" ht="14.1" customHeight="1" thickBot="1">
      <c r="B27" s="405"/>
      <c r="C27" s="406"/>
      <c r="D27" s="407"/>
      <c r="E27" s="391"/>
    </row>
    <row r="28" spans="1:6" ht="14.1" customHeight="1" thickBot="1">
      <c r="B28" s="1004" t="s">
        <v>305</v>
      </c>
      <c r="C28" s="1005"/>
      <c r="D28" s="1006" t="s">
        <v>297</v>
      </c>
      <c r="E28" s="391"/>
    </row>
    <row r="29" spans="1:6" ht="14.1" customHeight="1" thickBot="1">
      <c r="B29" s="389" t="s">
        <v>298</v>
      </c>
      <c r="C29" s="390" t="s">
        <v>299</v>
      </c>
      <c r="D29" s="1007"/>
      <c r="E29" s="391"/>
    </row>
    <row r="30" spans="1:6" ht="14.1" customHeight="1">
      <c r="B30" s="392"/>
      <c r="C30" s="408"/>
      <c r="D30" s="409"/>
      <c r="E30" s="391"/>
    </row>
    <row r="31" spans="1:6" ht="14.1" customHeight="1">
      <c r="A31" s="359">
        <v>3</v>
      </c>
      <c r="B31" s="395" t="s">
        <v>306</v>
      </c>
      <c r="C31" s="396">
        <f>+'[2]proiez PROGR.ORIZZ.2002-200 (2)'!N56</f>
        <v>362.69</v>
      </c>
      <c r="D31" s="394">
        <f t="shared" ref="D31:D36" si="1">+SUM(C31:C31)</f>
        <v>362.69</v>
      </c>
      <c r="E31" s="391"/>
    </row>
    <row r="32" spans="1:6" ht="14.1" customHeight="1">
      <c r="A32" s="359">
        <v>3</v>
      </c>
      <c r="B32" s="395" t="s">
        <v>204</v>
      </c>
      <c r="C32" s="396">
        <f>+'[2]proiez PROGR.ORIZZ.2002-200 (2)'!N43</f>
        <v>582.79</v>
      </c>
      <c r="D32" s="394">
        <f t="shared" si="1"/>
        <v>582.79</v>
      </c>
      <c r="E32" s="391"/>
      <c r="F32" s="364"/>
    </row>
    <row r="33" spans="1:6" ht="14.1" customHeight="1">
      <c r="A33" s="359">
        <v>3</v>
      </c>
      <c r="B33" s="395" t="s">
        <v>307</v>
      </c>
      <c r="C33" s="398">
        <f>+'[2]proiez PROGR.ORIZZ.2002-200 (2)'!N65</f>
        <v>1123.6099999999999</v>
      </c>
      <c r="D33" s="394">
        <f t="shared" si="1"/>
        <v>1123.6099999999999</v>
      </c>
      <c r="E33" s="391"/>
    </row>
    <row r="34" spans="1:6" ht="14.1" customHeight="1">
      <c r="A34" s="359">
        <v>3</v>
      </c>
      <c r="B34" s="395" t="s">
        <v>308</v>
      </c>
      <c r="C34" s="396">
        <f>+'[2]proiez PROGR.ORIZZ.2002-200 (2)'!N62</f>
        <v>1227.5299999999997</v>
      </c>
      <c r="D34" s="394">
        <f t="shared" si="1"/>
        <v>1227.5299999999997</v>
      </c>
      <c r="E34" s="410"/>
    </row>
    <row r="35" spans="1:6" ht="14.1" customHeight="1">
      <c r="A35" s="359">
        <v>3</v>
      </c>
      <c r="B35" s="395" t="s">
        <v>225</v>
      </c>
      <c r="C35" s="396">
        <f>+'[2]proiez PROGR.ORIZZ.2002-200 (2)'!N59</f>
        <v>554.26</v>
      </c>
      <c r="D35" s="394">
        <f t="shared" si="1"/>
        <v>554.26</v>
      </c>
      <c r="E35" s="391"/>
    </row>
    <row r="36" spans="1:6" ht="14.1" customHeight="1" thickBot="1">
      <c r="A36" s="359">
        <v>3</v>
      </c>
      <c r="B36" s="395" t="s">
        <v>224</v>
      </c>
      <c r="C36" s="396">
        <f>+'[2]proiez PROGR.ORIZZ.2002-200 (2)'!N58</f>
        <v>310.81</v>
      </c>
      <c r="D36" s="394">
        <f t="shared" si="1"/>
        <v>310.81</v>
      </c>
      <c r="E36" s="391"/>
      <c r="F36" s="364"/>
    </row>
    <row r="37" spans="1:6" ht="14.1" customHeight="1" thickBot="1">
      <c r="B37" s="402" t="s">
        <v>24</v>
      </c>
      <c r="C37" s="403">
        <f>+SUM(C31:C36)</f>
        <v>4161.6900000000005</v>
      </c>
      <c r="D37" s="404">
        <f>+SUM(D31:D36)</f>
        <v>4161.6900000000005</v>
      </c>
      <c r="E37" s="391"/>
    </row>
    <row r="38" spans="1:6" ht="14.1" customHeight="1">
      <c r="B38" s="405"/>
      <c r="C38" s="406"/>
      <c r="D38" s="407"/>
      <c r="E38" s="391"/>
    </row>
    <row r="39" spans="1:6" ht="14.1" customHeight="1" thickBot="1">
      <c r="B39" s="405"/>
      <c r="C39" s="406"/>
      <c r="D39" s="407"/>
      <c r="E39" s="391"/>
    </row>
    <row r="40" spans="1:6" ht="14.1" customHeight="1" thickBot="1">
      <c r="B40" s="1004" t="s">
        <v>309</v>
      </c>
      <c r="C40" s="1005"/>
      <c r="D40" s="1006" t="s">
        <v>297</v>
      </c>
      <c r="E40" s="391"/>
    </row>
    <row r="41" spans="1:6" ht="14.1" customHeight="1" thickBot="1">
      <c r="B41" s="389" t="s">
        <v>298</v>
      </c>
      <c r="C41" s="390" t="s">
        <v>299</v>
      </c>
      <c r="D41" s="1007"/>
      <c r="E41" s="391"/>
    </row>
    <row r="42" spans="1:6" ht="14.1" customHeight="1">
      <c r="B42" s="392"/>
      <c r="C42" s="408"/>
      <c r="D42" s="409"/>
      <c r="E42" s="391"/>
    </row>
    <row r="43" spans="1:6" ht="14.1" customHeight="1">
      <c r="A43" s="359">
        <v>4</v>
      </c>
      <c r="B43" s="395" t="s">
        <v>213</v>
      </c>
      <c r="C43" s="396">
        <f>+'[2]proiez PROGR.ORIZZ.2002-200 (2)'!N47</f>
        <v>1126.2600000000002</v>
      </c>
      <c r="D43" s="394">
        <f t="shared" ref="D43:D48" si="2">+SUM(C43:C43)</f>
        <v>1126.2600000000002</v>
      </c>
      <c r="E43" s="391"/>
    </row>
    <row r="44" spans="1:6" ht="14.1" customHeight="1">
      <c r="A44" s="359">
        <v>4</v>
      </c>
      <c r="B44" s="395" t="s">
        <v>310</v>
      </c>
      <c r="C44" s="396">
        <f>+'[2]proiez PROGR.ORIZZ.2002-200 (2)'!N53</f>
        <v>362.69</v>
      </c>
      <c r="D44" s="394">
        <f t="shared" si="2"/>
        <v>362.69</v>
      </c>
      <c r="E44" s="391"/>
      <c r="F44" s="370"/>
    </row>
    <row r="45" spans="1:6" ht="13.2">
      <c r="A45" s="359">
        <v>4</v>
      </c>
      <c r="B45" s="395" t="s">
        <v>220</v>
      </c>
      <c r="C45" s="396">
        <f>+'[2]proiez PROGR.ORIZZ.2002-200 (2)'!N54</f>
        <v>796.90999999999985</v>
      </c>
      <c r="D45" s="394">
        <f t="shared" si="2"/>
        <v>796.90999999999985</v>
      </c>
      <c r="E45" s="391"/>
      <c r="F45" s="387"/>
    </row>
    <row r="46" spans="1:6" ht="13.2">
      <c r="A46" s="359">
        <v>4</v>
      </c>
      <c r="B46" s="395" t="s">
        <v>214</v>
      </c>
      <c r="C46" s="396">
        <f>+'[2]proiez PROGR.ORIZZ.2002-200 (2)'!N48</f>
        <v>582.79</v>
      </c>
      <c r="D46" s="394">
        <f t="shared" si="2"/>
        <v>582.79</v>
      </c>
      <c r="E46" s="391"/>
      <c r="F46" s="364"/>
    </row>
    <row r="47" spans="1:6" ht="13.2">
      <c r="A47" s="359">
        <v>4</v>
      </c>
      <c r="B47" s="395" t="s">
        <v>218</v>
      </c>
      <c r="C47" s="396">
        <f>+'[2]proiez PROGR.ORIZZ.2002-200 (2)'!N52</f>
        <v>362.69</v>
      </c>
      <c r="D47" s="394">
        <f t="shared" si="2"/>
        <v>362.69</v>
      </c>
      <c r="E47" s="391"/>
      <c r="F47" s="364"/>
    </row>
    <row r="48" spans="1:6" ht="13.8" thickBot="1">
      <c r="A48" s="359">
        <v>4</v>
      </c>
      <c r="B48" s="399" t="s">
        <v>311</v>
      </c>
      <c r="C48" s="400">
        <f>+'[2]proiez PROGR.ORIZZ.2002-200 (2)'!N63</f>
        <v>1227.5299999999997</v>
      </c>
      <c r="D48" s="401">
        <f t="shared" si="2"/>
        <v>1227.5299999999997</v>
      </c>
      <c r="E48" s="391"/>
    </row>
    <row r="49" spans="2:5" ht="13.8" thickBot="1">
      <c r="B49" s="402" t="s">
        <v>24</v>
      </c>
      <c r="C49" s="411">
        <f>+SUM(C43:C48)</f>
        <v>4458.87</v>
      </c>
      <c r="D49" s="412">
        <f>+SUM(D43:D48)</f>
        <v>4458.87</v>
      </c>
      <c r="E49" s="391"/>
    </row>
    <row r="50" spans="2:5" ht="13.2">
      <c r="B50" s="413"/>
      <c r="C50" s="414"/>
      <c r="D50" s="415"/>
      <c r="E50" s="391"/>
    </row>
    <row r="51" spans="2:5" ht="13.2">
      <c r="B51" s="413"/>
      <c r="C51" s="416" t="s">
        <v>312</v>
      </c>
      <c r="D51" s="415">
        <f>+D49+D37+D25+D17</f>
        <v>15629.970000000001</v>
      </c>
      <c r="E51" s="391" t="s">
        <v>313</v>
      </c>
    </row>
    <row r="52" spans="2:5" ht="13.2">
      <c r="C52" s="417" t="s">
        <v>314</v>
      </c>
      <c r="D52" s="418">
        <f>+ROUND(D51*23.8%,2)</f>
        <v>3719.93</v>
      </c>
      <c r="E52" s="362" t="s">
        <v>315</v>
      </c>
    </row>
    <row r="53" spans="2:5" ht="13.2">
      <c r="C53" s="417" t="s">
        <v>316</v>
      </c>
      <c r="D53" s="418">
        <v>480</v>
      </c>
      <c r="E53" s="362" t="s">
        <v>317</v>
      </c>
    </row>
    <row r="54" spans="2:5" ht="13.2">
      <c r="C54" s="419" t="s">
        <v>318</v>
      </c>
      <c r="D54" s="418">
        <f>+ROUND(D51*8.5%,2)</f>
        <v>1328.55</v>
      </c>
      <c r="E54" s="410" t="s">
        <v>319</v>
      </c>
    </row>
    <row r="56" spans="2:5">
      <c r="C56" s="420"/>
    </row>
    <row r="57" spans="2:5">
      <c r="D57" s="360">
        <f>+D52+D53+D54</f>
        <v>5528.4800000000005</v>
      </c>
    </row>
  </sheetData>
  <mergeCells count="10">
    <mergeCell ref="B28:C28"/>
    <mergeCell ref="D28:D29"/>
    <mergeCell ref="B40:C40"/>
    <mergeCell ref="D40:D41"/>
    <mergeCell ref="B1:D1"/>
    <mergeCell ref="B5:D5"/>
    <mergeCell ref="B7:C7"/>
    <mergeCell ref="D7:D8"/>
    <mergeCell ref="B19:C19"/>
    <mergeCell ref="D19:D20"/>
  </mergeCells>
  <pageMargins left="0" right="0" top="0.19685039370078741" bottom="0" header="0.51181102362204722" footer="0.51181102362204722"/>
  <pageSetup paperSize="9" scale="99" orientation="portrait" r:id="rId1"/>
  <headerFooter alignWithMargins="0">
    <oddHeader xml:space="preserve">&amp;C
&amp;R
</oddHeader>
    <oddFooter xml:space="preserve">&amp;C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9"/>
  <sheetViews>
    <sheetView topLeftCell="A28" workbookViewId="0">
      <selection activeCell="B4" sqref="B4:I4"/>
    </sheetView>
  </sheetViews>
  <sheetFormatPr defaultRowHeight="14.4"/>
  <cols>
    <col min="1" max="1" width="3.88671875" customWidth="1"/>
    <col min="2" max="2" width="32.88671875" customWidth="1"/>
    <col min="3" max="3" width="8.44140625" customWidth="1"/>
    <col min="4" max="4" width="12" style="699" customWidth="1"/>
    <col min="5" max="5" width="16" customWidth="1"/>
    <col min="6" max="7" width="11.44140625" customWidth="1"/>
    <col min="8" max="8" width="10.88671875" customWidth="1"/>
    <col min="9" max="9" width="0.6640625" style="728" customWidth="1"/>
    <col min="10" max="10" width="13.33203125" customWidth="1"/>
    <col min="11" max="11" width="18.44140625" customWidth="1"/>
    <col min="12" max="12" width="7.6640625" customWidth="1"/>
  </cols>
  <sheetData>
    <row r="1" spans="1:12" ht="17.399999999999999">
      <c r="B1" s="899" t="s">
        <v>64</v>
      </c>
      <c r="C1" s="899"/>
      <c r="D1" s="899"/>
      <c r="E1" s="899"/>
      <c r="F1" s="899"/>
      <c r="G1" s="899"/>
      <c r="H1" s="899"/>
      <c r="I1" s="899"/>
      <c r="J1" s="899"/>
      <c r="K1" s="531"/>
      <c r="L1" s="531"/>
    </row>
    <row r="2" spans="1:12" ht="29.25" customHeight="1">
      <c r="A2" s="125" t="s">
        <v>332</v>
      </c>
      <c r="B2" s="898" t="s">
        <v>377</v>
      </c>
      <c r="C2" s="898"/>
      <c r="D2" s="898"/>
      <c r="E2" s="898"/>
      <c r="F2" s="898"/>
      <c r="G2" s="898"/>
      <c r="H2" s="898"/>
      <c r="I2" s="898"/>
      <c r="J2" s="898"/>
    </row>
    <row r="3" spans="1:12" ht="4.95" customHeight="1" thickBot="1">
      <c r="A3" s="126"/>
      <c r="B3" s="126"/>
      <c r="C3" s="126"/>
      <c r="D3" s="658"/>
      <c r="E3" s="126"/>
      <c r="F3" s="126"/>
      <c r="G3" s="126"/>
      <c r="H3" s="126"/>
      <c r="I3" s="718"/>
      <c r="J3" s="126"/>
    </row>
    <row r="4" spans="1:12" ht="15.75" customHeight="1" thickBot="1">
      <c r="B4" s="808" t="s">
        <v>378</v>
      </c>
      <c r="C4" s="809"/>
      <c r="D4" s="809"/>
      <c r="E4" s="809"/>
      <c r="F4" s="809"/>
      <c r="G4" s="809"/>
      <c r="H4" s="809"/>
      <c r="I4" s="809"/>
      <c r="J4" s="590">
        <f>6258.81+25352.64</f>
        <v>31611.45</v>
      </c>
      <c r="K4" s="127"/>
      <c r="L4" s="127"/>
    </row>
    <row r="5" spans="1:12" ht="15" thickBot="1">
      <c r="A5" s="128">
        <v>1</v>
      </c>
      <c r="B5" s="128">
        <v>1</v>
      </c>
      <c r="C5" s="129">
        <v>2</v>
      </c>
      <c r="D5" s="900" t="s">
        <v>432</v>
      </c>
      <c r="E5" s="901"/>
      <c r="F5" s="901"/>
      <c r="G5" s="901"/>
      <c r="H5" s="901"/>
      <c r="I5" s="901"/>
      <c r="J5" s="902"/>
      <c r="K5" s="130"/>
      <c r="L5" s="130"/>
    </row>
    <row r="6" spans="1:12" ht="90" customHeight="1" thickBot="1">
      <c r="A6" s="131" t="s">
        <v>66</v>
      </c>
      <c r="B6" s="131" t="s">
        <v>375</v>
      </c>
      <c r="C6" s="697" t="s">
        <v>420</v>
      </c>
      <c r="D6" s="660" t="s">
        <v>393</v>
      </c>
      <c r="E6" s="659" t="s">
        <v>416</v>
      </c>
      <c r="F6" s="692" t="s">
        <v>417</v>
      </c>
      <c r="G6" s="693" t="s">
        <v>418</v>
      </c>
      <c r="H6" s="797" t="s">
        <v>419</v>
      </c>
      <c r="I6" s="719" t="s">
        <v>71</v>
      </c>
      <c r="J6" s="134" t="s">
        <v>72</v>
      </c>
      <c r="K6" s="135"/>
      <c r="L6" s="135"/>
    </row>
    <row r="7" spans="1:12" s="595" customFormat="1" ht="15" thickBot="1">
      <c r="A7" s="136" t="s">
        <v>73</v>
      </c>
      <c r="B7" s="136"/>
      <c r="C7" s="646" t="s">
        <v>394</v>
      </c>
      <c r="D7" s="647">
        <f>E8+E9+E10+E11+E12</f>
        <v>4750.3999999999996</v>
      </c>
      <c r="E7" s="795">
        <f>ROUND((D8+D9+D10+D11+D12)*91.4467%,2)+0.02</f>
        <v>4750.4000000000005</v>
      </c>
      <c r="F7" s="591"/>
      <c r="G7" s="139"/>
      <c r="H7" s="592"/>
      <c r="I7" s="720"/>
      <c r="J7" s="593"/>
      <c r="K7" s="594"/>
      <c r="L7" s="594"/>
    </row>
    <row r="8" spans="1:12" s="595" customFormat="1" ht="15" thickBot="1">
      <c r="A8" s="805" t="s">
        <v>384</v>
      </c>
      <c r="B8" s="158" t="s">
        <v>385</v>
      </c>
      <c r="C8" s="143" t="s">
        <v>386</v>
      </c>
      <c r="D8" s="648">
        <f>ROUND((2000*66.68%)-(1333.6/360*18),2)</f>
        <v>1266.92</v>
      </c>
      <c r="E8" s="649">
        <f>ROUND(D8*91.4467%,2)+0.01</f>
        <v>1158.57</v>
      </c>
      <c r="F8" s="597"/>
      <c r="G8" s="192"/>
      <c r="H8" s="597"/>
      <c r="I8" s="721"/>
      <c r="J8" s="599"/>
      <c r="K8" s="600"/>
      <c r="L8" s="600"/>
    </row>
    <row r="9" spans="1:12" s="595" customFormat="1" ht="31.8">
      <c r="A9" s="805" t="s">
        <v>387</v>
      </c>
      <c r="B9" s="587" t="s">
        <v>388</v>
      </c>
      <c r="C9" s="143" t="s">
        <v>386</v>
      </c>
      <c r="D9" s="650">
        <f>ROUND((2000/12*4)+(2000/360*11),2)</f>
        <v>727.78</v>
      </c>
      <c r="E9" s="779">
        <f>ROUND(D9*91.4467%,2)-2.63</f>
        <v>662.9</v>
      </c>
      <c r="F9" s="601"/>
      <c r="G9" s="891">
        <f>2107.32+867.72</f>
        <v>2975.04</v>
      </c>
      <c r="H9" s="602"/>
      <c r="I9" s="721"/>
      <c r="J9" s="599"/>
      <c r="K9" s="600"/>
      <c r="L9" s="600"/>
    </row>
    <row r="10" spans="1:12" s="595" customFormat="1" ht="15" thickBot="1">
      <c r="A10" s="145" t="s">
        <v>55</v>
      </c>
      <c r="B10" s="142" t="s">
        <v>376</v>
      </c>
      <c r="C10" s="143" t="s">
        <v>57</v>
      </c>
      <c r="D10" s="651">
        <v>2000</v>
      </c>
      <c r="E10" s="652">
        <f t="shared" ref="E10" si="0">ROUND(D10*91.4467%,2)</f>
        <v>1828.93</v>
      </c>
      <c r="F10" s="601"/>
      <c r="G10" s="892"/>
      <c r="H10" s="602"/>
      <c r="I10" s="721"/>
      <c r="J10" s="599"/>
      <c r="K10" s="600"/>
      <c r="L10" s="600"/>
    </row>
    <row r="11" spans="1:12" s="595" customFormat="1">
      <c r="A11" s="145" t="s">
        <v>389</v>
      </c>
      <c r="B11" s="142" t="s">
        <v>395</v>
      </c>
      <c r="C11" s="143" t="s">
        <v>59</v>
      </c>
      <c r="D11" s="651">
        <v>600</v>
      </c>
      <c r="E11" s="779">
        <f>ROUND(D11*91.4467%,2)+0.01+51.31</f>
        <v>600</v>
      </c>
      <c r="F11" s="597"/>
      <c r="G11" s="191"/>
      <c r="H11" s="597"/>
      <c r="I11" s="721"/>
      <c r="J11" s="599"/>
      <c r="K11" s="600"/>
      <c r="L11" s="600"/>
    </row>
    <row r="12" spans="1:12" s="595" customFormat="1">
      <c r="A12" s="145" t="s">
        <v>390</v>
      </c>
      <c r="B12" s="157" t="s">
        <v>396</v>
      </c>
      <c r="C12" s="147" t="s">
        <v>40</v>
      </c>
      <c r="D12" s="651">
        <v>600</v>
      </c>
      <c r="E12" s="779">
        <v>500</v>
      </c>
      <c r="F12" s="597"/>
      <c r="G12" s="191"/>
      <c r="H12" s="597"/>
      <c r="I12" s="721"/>
      <c r="J12" s="599"/>
      <c r="K12" s="600"/>
      <c r="L12" s="600"/>
    </row>
    <row r="13" spans="1:12" s="595" customFormat="1" ht="15" thickBot="1">
      <c r="A13" s="804" t="s">
        <v>391</v>
      </c>
      <c r="B13" s="148" t="s">
        <v>392</v>
      </c>
      <c r="C13" s="149" t="s">
        <v>44</v>
      </c>
      <c r="D13" s="651">
        <v>0</v>
      </c>
      <c r="E13" s="652">
        <f>ROUND(D13*91.4467%,2)</f>
        <v>0</v>
      </c>
      <c r="F13" s="603"/>
      <c r="G13" s="165"/>
      <c r="H13" s="603"/>
      <c r="I13" s="722"/>
      <c r="J13" s="604"/>
      <c r="K13" s="605"/>
      <c r="L13" s="605"/>
    </row>
    <row r="14" spans="1:12" s="595" customFormat="1" ht="7.95" customHeight="1" thickBot="1">
      <c r="B14" s="123"/>
      <c r="C14" s="534"/>
      <c r="D14" s="699"/>
      <c r="E14" s="606"/>
      <c r="F14" s="606"/>
      <c r="G14" s="694"/>
      <c r="H14" s="606"/>
      <c r="I14" s="723"/>
      <c r="J14" s="606"/>
    </row>
    <row r="15" spans="1:12" s="595" customFormat="1" ht="15" thickBot="1">
      <c r="A15" s="151" t="s">
        <v>75</v>
      </c>
      <c r="B15" s="151"/>
      <c r="C15" s="646" t="s">
        <v>394</v>
      </c>
      <c r="D15" s="647">
        <f>E16+E17+E18</f>
        <v>4206.55</v>
      </c>
      <c r="E15" s="795">
        <f>ROUND((D16+D17+D18)*91.4467%,2)</f>
        <v>4206.55</v>
      </c>
      <c r="F15" s="597"/>
      <c r="G15" s="191"/>
      <c r="H15" s="597"/>
      <c r="I15" s="721"/>
      <c r="J15" s="599"/>
      <c r="K15" s="600"/>
      <c r="L15" s="600"/>
    </row>
    <row r="16" spans="1:12" s="595" customFormat="1">
      <c r="A16" s="145" t="s">
        <v>53</v>
      </c>
      <c r="B16" s="142" t="s">
        <v>376</v>
      </c>
      <c r="C16" s="661" t="s">
        <v>47</v>
      </c>
      <c r="D16" s="662">
        <v>2000</v>
      </c>
      <c r="E16" s="649">
        <f t="shared" ref="E16:E17" si="1">ROUND(D16*91.4467%,2)</f>
        <v>1828.93</v>
      </c>
      <c r="F16" s="597"/>
      <c r="G16" s="191"/>
      <c r="H16" s="597"/>
      <c r="I16" s="721"/>
      <c r="J16" s="599"/>
      <c r="K16" s="600"/>
      <c r="L16" s="600"/>
    </row>
    <row r="17" spans="1:12" s="595" customFormat="1">
      <c r="A17" s="663" t="s">
        <v>54</v>
      </c>
      <c r="B17" s="153" t="s">
        <v>376</v>
      </c>
      <c r="C17" s="664" t="s">
        <v>42</v>
      </c>
      <c r="D17" s="665">
        <v>2000</v>
      </c>
      <c r="E17" s="652">
        <f t="shared" si="1"/>
        <v>1828.93</v>
      </c>
      <c r="F17" s="608"/>
      <c r="G17" s="200"/>
      <c r="H17" s="608"/>
      <c r="I17" s="615"/>
      <c r="J17" s="609"/>
      <c r="K17" s="610"/>
      <c r="L17" s="610"/>
    </row>
    <row r="18" spans="1:12" s="595" customFormat="1" ht="15" thickBot="1">
      <c r="A18" s="666" t="s">
        <v>76</v>
      </c>
      <c r="B18" s="148" t="s">
        <v>376</v>
      </c>
      <c r="C18" s="667" t="s">
        <v>39</v>
      </c>
      <c r="D18" s="665">
        <v>600</v>
      </c>
      <c r="E18" s="652">
        <f>ROUND(D18*91.4467%,2)+0.01</f>
        <v>548.68999999999994</v>
      </c>
      <c r="F18" s="597"/>
      <c r="G18" s="191"/>
      <c r="H18" s="597"/>
      <c r="I18" s="721"/>
      <c r="J18" s="599"/>
      <c r="K18" s="600"/>
      <c r="L18" s="600"/>
    </row>
    <row r="19" spans="1:12" s="595" customFormat="1" ht="8.4" customHeight="1" thickBot="1">
      <c r="A19" s="607"/>
      <c r="B19" s="153"/>
      <c r="C19" s="156"/>
      <c r="D19" s="651"/>
      <c r="E19" s="596"/>
      <c r="F19" s="597"/>
      <c r="G19" s="191"/>
      <c r="H19" s="597"/>
      <c r="I19" s="721"/>
      <c r="J19" s="599"/>
      <c r="K19" s="600"/>
      <c r="L19" s="600"/>
    </row>
    <row r="20" spans="1:12" s="595" customFormat="1" ht="15" thickBot="1">
      <c r="A20" s="151" t="s">
        <v>397</v>
      </c>
      <c r="B20" s="136"/>
      <c r="C20" s="646" t="s">
        <v>394</v>
      </c>
      <c r="D20" s="647">
        <f>E21+E22+E23</f>
        <v>3556.26</v>
      </c>
      <c r="E20" s="795">
        <f>ROUND((D21+D22+D23)*91.4467%,2)</f>
        <v>3556.26</v>
      </c>
      <c r="F20" s="597"/>
      <c r="G20" s="191"/>
      <c r="H20" s="597"/>
      <c r="I20" s="721"/>
      <c r="J20" s="599"/>
      <c r="K20" s="600"/>
      <c r="L20" s="600"/>
    </row>
    <row r="21" spans="1:12" s="595" customFormat="1" ht="31.8">
      <c r="A21" s="801" t="s">
        <v>398</v>
      </c>
      <c r="B21" s="668" t="s">
        <v>399</v>
      </c>
      <c r="C21" s="664" t="s">
        <v>400</v>
      </c>
      <c r="D21" s="648">
        <f>ROUND(2000-(2000/360*5)-(2000/360*15),2)</f>
        <v>1888.89</v>
      </c>
      <c r="E21" s="649">
        <f t="shared" ref="E21:E23" si="2">ROUND(D21*91.4467%,2)</f>
        <v>1727.33</v>
      </c>
      <c r="F21" s="598"/>
      <c r="G21" s="192"/>
      <c r="H21" s="598"/>
      <c r="I21" s="724"/>
      <c r="J21" s="611"/>
      <c r="K21" s="600"/>
      <c r="L21" s="600"/>
    </row>
    <row r="22" spans="1:12" s="595" customFormat="1">
      <c r="A22" s="145" t="s">
        <v>78</v>
      </c>
      <c r="B22" s="142" t="s">
        <v>376</v>
      </c>
      <c r="C22" s="143" t="s">
        <v>42</v>
      </c>
      <c r="D22" s="651">
        <v>2000</v>
      </c>
      <c r="E22" s="652">
        <f t="shared" si="2"/>
        <v>1828.93</v>
      </c>
      <c r="F22" s="597"/>
      <c r="G22" s="191"/>
      <c r="H22" s="597"/>
      <c r="I22" s="721"/>
      <c r="J22" s="599"/>
      <c r="K22" s="600"/>
      <c r="L22" s="600"/>
    </row>
    <row r="23" spans="1:12" s="595" customFormat="1" ht="27" customHeight="1" thickBot="1">
      <c r="A23" s="802" t="s">
        <v>401</v>
      </c>
      <c r="B23" s="803" t="s">
        <v>402</v>
      </c>
      <c r="C23" s="149" t="s">
        <v>379</v>
      </c>
      <c r="D23" s="669">
        <v>0</v>
      </c>
      <c r="E23" s="652">
        <f t="shared" si="2"/>
        <v>0</v>
      </c>
      <c r="F23" s="690">
        <f>ROUND((30*12)-((30/26)*42),2)</f>
        <v>311.54000000000002</v>
      </c>
      <c r="G23" s="191"/>
      <c r="H23" s="597"/>
      <c r="I23" s="721"/>
      <c r="J23" s="599"/>
      <c r="K23" s="600"/>
      <c r="L23" s="600"/>
    </row>
    <row r="24" spans="1:12" s="595" customFormat="1" ht="8.4" customHeight="1" thickBot="1">
      <c r="A24" s="612"/>
      <c r="B24" s="158"/>
      <c r="C24" s="126"/>
      <c r="D24" s="651"/>
      <c r="E24" s="596"/>
      <c r="F24" s="597"/>
      <c r="G24" s="191"/>
      <c r="H24" s="597"/>
      <c r="I24" s="721"/>
      <c r="J24" s="599"/>
      <c r="K24" s="600"/>
      <c r="L24" s="600"/>
    </row>
    <row r="25" spans="1:12" s="595" customFormat="1" ht="15" thickBot="1">
      <c r="A25" s="159" t="s">
        <v>79</v>
      </c>
      <c r="B25" s="159"/>
      <c r="C25" s="646" t="s">
        <v>394</v>
      </c>
      <c r="D25" s="647">
        <f>E26+E27+E28+E29+E30</f>
        <v>4755.2179999999998</v>
      </c>
      <c r="E25" s="795">
        <f>ROUND((D26+D27+D28+D29+D30)*91.4467%,2)-0.01</f>
        <v>5486.79</v>
      </c>
      <c r="F25" s="597"/>
      <c r="G25" s="191"/>
      <c r="H25" s="597"/>
      <c r="I25" s="721"/>
      <c r="J25" s="599"/>
      <c r="K25" s="600"/>
      <c r="L25" s="600"/>
    </row>
    <row r="26" spans="1:12" s="595" customFormat="1">
      <c r="A26" s="670" t="s">
        <v>80</v>
      </c>
      <c r="B26" s="160" t="s">
        <v>376</v>
      </c>
      <c r="C26" s="143" t="s">
        <v>43</v>
      </c>
      <c r="D26" s="651">
        <v>2000</v>
      </c>
      <c r="E26" s="652">
        <f t="shared" ref="E26:E32" si="3">ROUND(D26*91.4467%,2)</f>
        <v>1828.93</v>
      </c>
      <c r="F26" s="613"/>
      <c r="G26" s="695"/>
      <c r="H26" s="613"/>
      <c r="I26" s="725"/>
      <c r="J26" s="614"/>
      <c r="K26" s="600"/>
      <c r="L26" s="600"/>
    </row>
    <row r="27" spans="1:12" s="595" customFormat="1" ht="27" customHeight="1">
      <c r="A27" s="587" t="s">
        <v>403</v>
      </c>
      <c r="B27" s="893" t="s">
        <v>404</v>
      </c>
      <c r="C27" s="143" t="s">
        <v>42</v>
      </c>
      <c r="D27" s="651">
        <f>2000-2000</f>
        <v>0</v>
      </c>
      <c r="E27" s="652">
        <f t="shared" si="3"/>
        <v>0</v>
      </c>
      <c r="F27" s="597"/>
      <c r="G27" s="197"/>
      <c r="H27" s="597"/>
      <c r="I27" s="721"/>
      <c r="J27" s="599"/>
      <c r="K27" s="600"/>
      <c r="L27" s="600"/>
    </row>
    <row r="28" spans="1:12" s="595" customFormat="1" ht="24" customHeight="1">
      <c r="A28" s="587" t="s">
        <v>405</v>
      </c>
      <c r="B28" s="894"/>
      <c r="C28" s="143" t="s">
        <v>50</v>
      </c>
      <c r="D28" s="651">
        <f>2000-2000</f>
        <v>0</v>
      </c>
      <c r="E28" s="652">
        <f t="shared" si="3"/>
        <v>0</v>
      </c>
      <c r="F28" s="603"/>
      <c r="G28" s="165"/>
      <c r="H28" s="603"/>
      <c r="I28" s="722"/>
      <c r="J28" s="604"/>
      <c r="K28" s="600"/>
      <c r="L28" s="600"/>
    </row>
    <row r="29" spans="1:12" s="595" customFormat="1" ht="21.6">
      <c r="A29" s="800" t="s">
        <v>406</v>
      </c>
      <c r="B29" s="672" t="s">
        <v>409</v>
      </c>
      <c r="C29" s="143" t="s">
        <v>42</v>
      </c>
      <c r="D29" s="651">
        <v>2000</v>
      </c>
      <c r="E29" s="779">
        <f>ROUND(D29*91.4467%,2)*0.6</f>
        <v>1097.3579999999999</v>
      </c>
      <c r="F29" s="597"/>
      <c r="G29" s="191"/>
      <c r="H29" s="597"/>
      <c r="I29" s="721"/>
      <c r="J29" s="599"/>
      <c r="K29" s="600"/>
      <c r="L29" s="600"/>
    </row>
    <row r="30" spans="1:12" s="595" customFormat="1" ht="15" thickBot="1">
      <c r="A30" s="670" t="s">
        <v>58</v>
      </c>
      <c r="B30" s="160" t="s">
        <v>376</v>
      </c>
      <c r="C30" s="143" t="s">
        <v>57</v>
      </c>
      <c r="D30" s="651">
        <v>2000</v>
      </c>
      <c r="E30" s="652">
        <f t="shared" si="3"/>
        <v>1828.93</v>
      </c>
      <c r="F30" s="597"/>
      <c r="G30" s="192"/>
      <c r="H30" s="597"/>
      <c r="I30" s="721"/>
      <c r="J30" s="599"/>
      <c r="K30" s="600"/>
      <c r="L30" s="600"/>
    </row>
    <row r="31" spans="1:12" s="595" customFormat="1" ht="39" customHeight="1" thickBot="1">
      <c r="A31" s="673" t="s">
        <v>407</v>
      </c>
      <c r="B31" s="653" t="s">
        <v>410</v>
      </c>
      <c r="C31" s="143" t="s">
        <v>39</v>
      </c>
      <c r="D31" s="671">
        <v>0</v>
      </c>
      <c r="E31" s="652">
        <f t="shared" si="3"/>
        <v>0</v>
      </c>
      <c r="F31" s="690">
        <f>ROUND((30*12)-((30/26)*30),2)</f>
        <v>325.38</v>
      </c>
      <c r="G31" s="891">
        <f>1776.76+867.72</f>
        <v>2644.48</v>
      </c>
      <c r="H31" s="602"/>
      <c r="I31" s="721"/>
      <c r="J31" s="599"/>
      <c r="K31" s="600"/>
      <c r="L31" s="600"/>
    </row>
    <row r="32" spans="1:12" s="595" customFormat="1" ht="39" customHeight="1" thickBot="1">
      <c r="A32" s="674" t="s">
        <v>408</v>
      </c>
      <c r="B32" s="653" t="s">
        <v>410</v>
      </c>
      <c r="C32" s="149" t="s">
        <v>44</v>
      </c>
      <c r="D32" s="671">
        <v>0</v>
      </c>
      <c r="E32" s="652">
        <f t="shared" si="3"/>
        <v>0</v>
      </c>
      <c r="F32" s="690">
        <f>ROUND((30*12)-((30/26)*38),2)</f>
        <v>316.14999999999998</v>
      </c>
      <c r="G32" s="892"/>
      <c r="H32" s="602"/>
      <c r="I32" s="721"/>
      <c r="J32" s="599"/>
      <c r="K32" s="600"/>
      <c r="L32" s="600"/>
    </row>
    <row r="33" spans="1:12" s="595" customFormat="1">
      <c r="A33" s="162" t="s">
        <v>414</v>
      </c>
      <c r="B33" s="163"/>
      <c r="C33" s="163"/>
      <c r="D33" s="698">
        <f>SUM(D7:D32)-D25-D20-D15-D7</f>
        <v>19683.589999999997</v>
      </c>
      <c r="E33" s="675">
        <f>E8+E9+E10+E11+E12+E13+E16+E17+E18+E21+E22+E23+E26+E27+E28+E29+E30+E31+E32</f>
        <v>17268.428</v>
      </c>
      <c r="F33" s="675">
        <f>SUM(F23+F31+F32)-F34</f>
        <v>953.07</v>
      </c>
      <c r="G33" s="166">
        <f>SUM(G7:G32)</f>
        <v>5619.52</v>
      </c>
      <c r="H33" s="798">
        <f>(6113.13)+E37+F37+G37+75.7</f>
        <v>7770.4319999999998</v>
      </c>
      <c r="I33" s="722">
        <v>0</v>
      </c>
      <c r="J33" s="206">
        <f>E33+F33+G33+H33</f>
        <v>31611.45</v>
      </c>
      <c r="K33" s="150"/>
      <c r="L33" s="605"/>
    </row>
    <row r="34" spans="1:12" s="699" customFormat="1" ht="10.5" customHeight="1" thickBot="1">
      <c r="A34" s="684" t="s">
        <v>411</v>
      </c>
      <c r="B34" s="685"/>
      <c r="C34" s="685"/>
      <c r="D34" s="686">
        <v>0</v>
      </c>
      <c r="E34" s="686">
        <v>0</v>
      </c>
      <c r="F34" s="676">
        <v>0</v>
      </c>
      <c r="G34" s="696">
        <v>0</v>
      </c>
      <c r="H34" s="686">
        <v>0</v>
      </c>
      <c r="I34" s="796">
        <v>0</v>
      </c>
      <c r="J34" s="712">
        <f>D34+F34+G34+H34+I34</f>
        <v>0</v>
      </c>
      <c r="K34" s="168"/>
      <c r="L34" s="168"/>
    </row>
    <row r="35" spans="1:12" s="595" customFormat="1" ht="15" thickBot="1">
      <c r="A35" s="677" t="s">
        <v>415</v>
      </c>
      <c r="B35" s="170"/>
      <c r="C35" s="170"/>
      <c r="D35" s="698">
        <f t="shared" ref="D35:F35" si="4">D33+D34</f>
        <v>19683.589999999997</v>
      </c>
      <c r="E35" s="675">
        <f t="shared" si="4"/>
        <v>17268.428</v>
      </c>
      <c r="F35" s="675">
        <f t="shared" si="4"/>
        <v>953.07</v>
      </c>
      <c r="G35" s="166">
        <f>G33+G34</f>
        <v>5619.52</v>
      </c>
      <c r="H35" s="798">
        <f>H33+H34</f>
        <v>7770.4319999999998</v>
      </c>
      <c r="I35" s="726">
        <f>I33+I34</f>
        <v>0</v>
      </c>
      <c r="J35" s="781">
        <f>E35+F35+G35+H35</f>
        <v>31611.45</v>
      </c>
      <c r="K35" s="711">
        <f>J33+J34</f>
        <v>31611.45</v>
      </c>
      <c r="L35" s="616"/>
    </row>
    <row r="36" spans="1:12" s="636" customFormat="1" ht="11.25" customHeight="1">
      <c r="A36" s="679"/>
      <c r="B36" s="680"/>
      <c r="C36" s="678" t="s">
        <v>412</v>
      </c>
      <c r="D36" s="682">
        <f>18000*100/19683.59</f>
        <v>91.446733040060266</v>
      </c>
      <c r="E36" s="682"/>
      <c r="F36" s="691"/>
      <c r="G36" s="126"/>
      <c r="H36" s="654"/>
      <c r="I36" s="727"/>
      <c r="J36" s="683"/>
      <c r="K36" s="616"/>
      <c r="L36" s="616"/>
    </row>
    <row r="37" spans="1:12" ht="15" thickBot="1">
      <c r="A37" s="768"/>
      <c r="B37" s="769"/>
      <c r="C37" s="681" t="s">
        <v>413</v>
      </c>
      <c r="D37" s="770"/>
      <c r="E37" s="770">
        <f>18000-E33</f>
        <v>731.57200000000012</v>
      </c>
      <c r="F37" s="771">
        <f>1080-F33</f>
        <v>126.92999999999995</v>
      </c>
      <c r="G37" s="771">
        <f>6342.62-G33</f>
        <v>723.09999999999945</v>
      </c>
      <c r="H37" s="772">
        <v>0</v>
      </c>
      <c r="J37" s="772">
        <f>E37+F37+G37+H37</f>
        <v>1581.6019999999994</v>
      </c>
      <c r="K37" s="698" t="s">
        <v>421</v>
      </c>
    </row>
    <row r="38" spans="1:12" s="123" customFormat="1" ht="70.95" customHeight="1" thickBot="1">
      <c r="A38" s="895" t="s">
        <v>82</v>
      </c>
      <c r="B38" s="896"/>
      <c r="C38" s="897"/>
      <c r="D38" s="773" t="str">
        <f>D6</f>
        <v>Indenn.responsabilità iniz./contratt.: (=18.000:che copre il 91,4467%)</v>
      </c>
      <c r="E38" s="774" t="str">
        <f>E6</f>
        <v>Ind.Responsab.Attrib.dai Respons. Serv. su(=base meno perc. contratt.minore copert.spese: 91,4467% Tot.iniziali =18.000,00</v>
      </c>
      <c r="F38" s="775" t="str">
        <f t="shared" ref="F38:J38" si="5">F6</f>
        <v>Indennità di Rischio:attribuito dai Resp.Serv. (imp.iniziale= 1.080,00)</v>
      </c>
      <c r="G38" s="775" t="str">
        <f t="shared" si="5"/>
        <v>Ind.Reperibilità attrib.dai Resp.Serv.(iniz=6.342,62:presunta su 64 fest/tutti e 51 sabati anagr.)</v>
      </c>
      <c r="H38" s="778" t="str">
        <f t="shared" si="5"/>
        <v>Ind.Produttività collettiva: mancano Attrib.RespServ.:per dipendente (iniz=6113,13)</v>
      </c>
      <c r="I38" s="776" t="str">
        <f t="shared" si="5"/>
        <v>SOMME non ripartite</v>
      </c>
      <c r="J38" s="777" t="str">
        <f t="shared" si="5"/>
        <v>TOTALI</v>
      </c>
      <c r="K38" s="716" t="s">
        <v>112</v>
      </c>
      <c r="L38" s="717"/>
    </row>
    <row r="39" spans="1:12" s="595" customFormat="1" ht="7.2" customHeight="1" thickBot="1">
      <c r="A39" s="617"/>
      <c r="B39" s="617"/>
      <c r="C39" s="618"/>
      <c r="D39" s="135"/>
      <c r="E39" s="619"/>
      <c r="F39" s="618"/>
      <c r="G39" s="619"/>
      <c r="H39" s="619"/>
      <c r="I39" s="729"/>
      <c r="J39" s="620"/>
      <c r="K39" s="621"/>
      <c r="L39" s="600"/>
    </row>
    <row r="40" spans="1:12" s="123" customFormat="1">
      <c r="B40" s="905" t="s">
        <v>83</v>
      </c>
      <c r="C40" s="906"/>
      <c r="D40" s="700">
        <f t="shared" ref="D40:I41" si="6">+ROUND(D33*23.8%,2)</f>
        <v>4684.6899999999996</v>
      </c>
      <c r="E40" s="631">
        <f t="shared" si="6"/>
        <v>4109.8900000000003</v>
      </c>
      <c r="F40" s="448">
        <f t="shared" si="6"/>
        <v>226.83</v>
      </c>
      <c r="G40" s="448">
        <f t="shared" si="6"/>
        <v>1337.45</v>
      </c>
      <c r="H40" s="448">
        <f>+ROUND(H33*23.8%,2)</f>
        <v>1849.36</v>
      </c>
      <c r="I40" s="730">
        <f t="shared" si="6"/>
        <v>0</v>
      </c>
      <c r="J40" s="448">
        <f>+ROUND(J33*23.8%,2)</f>
        <v>7523.53</v>
      </c>
      <c r="K40" s="739">
        <f>E40+F40+G40+H40</f>
        <v>7523.53</v>
      </c>
      <c r="L40" s="713"/>
    </row>
    <row r="41" spans="1:12" s="123" customFormat="1" ht="15" thickBot="1">
      <c r="B41" s="907" t="s">
        <v>334</v>
      </c>
      <c r="C41" s="908"/>
      <c r="D41" s="701">
        <f>+ROUND(D34*23.8%,2)</f>
        <v>0</v>
      </c>
      <c r="E41" s="631">
        <f t="shared" si="6"/>
        <v>0</v>
      </c>
      <c r="F41" s="450">
        <f>+ROUND(F34*23.8%,2)</f>
        <v>0</v>
      </c>
      <c r="G41" s="450">
        <f>+ROUND(G34*23.8%,2)</f>
        <v>0</v>
      </c>
      <c r="H41" s="450">
        <f>+ROUND(H34*23.8%,2)</f>
        <v>0</v>
      </c>
      <c r="I41" s="731">
        <f>+ROUND(I34*23.8%,2)</f>
        <v>0</v>
      </c>
      <c r="J41" s="450">
        <f>+ROUND(F34*23.8%,2)</f>
        <v>0</v>
      </c>
      <c r="K41" s="740">
        <f>D41+F41+G41+H41+I41</f>
        <v>0</v>
      </c>
      <c r="L41" s="714"/>
    </row>
    <row r="42" spans="1:12" s="123" customFormat="1">
      <c r="B42" s="909" t="s">
        <v>335</v>
      </c>
      <c r="C42" s="910"/>
      <c r="D42" s="700">
        <f>+ROUND(D35*0.5%,2)</f>
        <v>98.42</v>
      </c>
      <c r="E42" s="715">
        <f>ROUND(E35*0.5%,2)</f>
        <v>86.34</v>
      </c>
      <c r="F42" s="447">
        <f t="shared" ref="F42:I42" si="7">+ROUND(F35*0.5%,2)</f>
        <v>4.7699999999999996</v>
      </c>
      <c r="G42" s="447">
        <f t="shared" si="7"/>
        <v>28.1</v>
      </c>
      <c r="H42" s="447">
        <f t="shared" si="7"/>
        <v>38.85</v>
      </c>
      <c r="I42" s="732">
        <f t="shared" si="7"/>
        <v>0</v>
      </c>
      <c r="J42" s="448">
        <f>+ROUND(J35*0.5%,2)</f>
        <v>158.06</v>
      </c>
      <c r="K42" s="739">
        <f>E42+F42+G42+H42</f>
        <v>158.06</v>
      </c>
      <c r="L42" s="714"/>
    </row>
    <row r="43" spans="1:12" s="123" customFormat="1" ht="15" thickBot="1">
      <c r="B43" s="911" t="s">
        <v>84</v>
      </c>
      <c r="C43" s="912"/>
      <c r="D43" s="702">
        <f>SUM(D40:D42)</f>
        <v>4783.1099999999997</v>
      </c>
      <c r="E43" s="175">
        <f t="shared" ref="E43" si="8">SUM(E40:E42)</f>
        <v>4196.2300000000005</v>
      </c>
      <c r="F43" s="452">
        <f t="shared" ref="F43:J43" si="9">SUM(F40:F42)</f>
        <v>231.60000000000002</v>
      </c>
      <c r="G43" s="452">
        <f t="shared" si="9"/>
        <v>1365.55</v>
      </c>
      <c r="H43" s="452">
        <f t="shared" si="9"/>
        <v>1888.2099999999998</v>
      </c>
      <c r="I43" s="733">
        <f t="shared" si="9"/>
        <v>0</v>
      </c>
      <c r="J43" s="452">
        <f t="shared" si="9"/>
        <v>7681.59</v>
      </c>
      <c r="K43" s="741">
        <f>SUM(K40:K42)</f>
        <v>7681.59</v>
      </c>
      <c r="L43" s="713"/>
    </row>
    <row r="44" spans="1:12" s="595" customFormat="1" ht="7.2" customHeight="1" thickBot="1">
      <c r="A44" s="623"/>
      <c r="B44" s="623"/>
      <c r="C44" s="624"/>
      <c r="D44" s="703"/>
      <c r="E44" s="687"/>
      <c r="F44" s="626"/>
      <c r="G44" s="625"/>
      <c r="H44" s="625"/>
      <c r="I44" s="734"/>
      <c r="J44" s="742"/>
      <c r="K44" s="742"/>
      <c r="L44" s="624"/>
    </row>
    <row r="45" spans="1:12" s="123" customFormat="1">
      <c r="B45" s="913" t="s">
        <v>85</v>
      </c>
      <c r="C45" s="914"/>
      <c r="D45" s="704">
        <f t="shared" ref="D45:I45" si="10">+ROUND(D33*2.55%,2)</f>
        <v>501.93</v>
      </c>
      <c r="E45" s="748">
        <f>+ROUND(E33*2.55%,2)</f>
        <v>440.34</v>
      </c>
      <c r="F45" s="448">
        <f t="shared" si="10"/>
        <v>24.3</v>
      </c>
      <c r="G45" s="448">
        <f t="shared" si="10"/>
        <v>143.30000000000001</v>
      </c>
      <c r="H45" s="448">
        <f t="shared" si="10"/>
        <v>198.15</v>
      </c>
      <c r="I45" s="730">
        <f t="shared" si="10"/>
        <v>0</v>
      </c>
      <c r="J45" s="448">
        <f>+ROUND(J33*2.55%,2)</f>
        <v>806.09</v>
      </c>
      <c r="K45" s="739">
        <f>E45+F45+G45+H45</f>
        <v>806.09</v>
      </c>
      <c r="L45" s="717"/>
    </row>
    <row r="46" spans="1:12" s="123" customFormat="1" ht="15" thickBot="1">
      <c r="B46" s="915" t="s">
        <v>336</v>
      </c>
      <c r="C46" s="916"/>
      <c r="D46" s="705">
        <f t="shared" ref="D46:H46" si="11">+ROUND(D34*8.5%,2)</f>
        <v>0</v>
      </c>
      <c r="E46" s="631">
        <f t="shared" si="11"/>
        <v>0</v>
      </c>
      <c r="F46" s="450">
        <f>+ROUND(F34*2.55%,2)</f>
        <v>0</v>
      </c>
      <c r="G46" s="450">
        <f t="shared" si="11"/>
        <v>0</v>
      </c>
      <c r="H46" s="450">
        <f t="shared" si="11"/>
        <v>0</v>
      </c>
      <c r="I46" s="731">
        <f>+ROUND(I34*2.55%,2)</f>
        <v>0</v>
      </c>
      <c r="J46" s="450">
        <f>+ROUND(F34*2.55%,2)</f>
        <v>0</v>
      </c>
      <c r="K46" s="740">
        <f>E46+F46+G46+H46</f>
        <v>0</v>
      </c>
      <c r="L46" s="714"/>
    </row>
    <row r="47" spans="1:12" s="123" customFormat="1" ht="15" thickBot="1">
      <c r="B47" s="917" t="s">
        <v>86</v>
      </c>
      <c r="C47" s="918"/>
      <c r="D47" s="702">
        <f>SUM(D45:D46)</f>
        <v>501.93</v>
      </c>
      <c r="E47" s="688">
        <f>SUM(E45:E46)</f>
        <v>440.34</v>
      </c>
      <c r="F47" s="455">
        <f t="shared" ref="F47:K47" si="12">SUM(F45:F46)</f>
        <v>24.3</v>
      </c>
      <c r="G47" s="455">
        <f t="shared" si="12"/>
        <v>143.30000000000001</v>
      </c>
      <c r="H47" s="455">
        <f t="shared" si="12"/>
        <v>198.15</v>
      </c>
      <c r="I47" s="749">
        <f t="shared" si="12"/>
        <v>0</v>
      </c>
      <c r="J47" s="455">
        <f t="shared" si="12"/>
        <v>806.09</v>
      </c>
      <c r="K47" s="743">
        <f t="shared" si="12"/>
        <v>806.09</v>
      </c>
      <c r="L47" s="714"/>
    </row>
    <row r="48" spans="1:12" s="123" customFormat="1" ht="6.6" customHeight="1" thickBot="1">
      <c r="A48" s="178"/>
      <c r="B48" s="178"/>
      <c r="C48" s="178"/>
      <c r="D48" s="706"/>
      <c r="E48" s="689"/>
      <c r="F48" s="208"/>
      <c r="G48" s="208"/>
      <c r="H48" s="208"/>
      <c r="I48" s="750"/>
      <c r="J48" s="208"/>
      <c r="K48" s="744"/>
      <c r="L48" s="714"/>
    </row>
    <row r="49" spans="1:12" s="123" customFormat="1">
      <c r="A49" s="751" t="s">
        <v>87</v>
      </c>
      <c r="B49" s="751" t="s">
        <v>87</v>
      </c>
      <c r="C49" s="752"/>
      <c r="D49" s="707">
        <f>D33+D40+D42+D45</f>
        <v>24968.629999999994</v>
      </c>
      <c r="E49" s="789">
        <f>E33+E43+E47</f>
        <v>21904.998</v>
      </c>
      <c r="F49" s="789">
        <f>F33+F43+F47</f>
        <v>1208.97</v>
      </c>
      <c r="G49" s="789">
        <f>G33+G43+G47</f>
        <v>7128.3700000000008</v>
      </c>
      <c r="H49" s="789">
        <f>H33+H43+H47</f>
        <v>9856.7919999999995</v>
      </c>
      <c r="I49" s="753">
        <f t="shared" ref="I49" si="13">I33+I40+I42+I45</f>
        <v>0</v>
      </c>
      <c r="J49" s="746">
        <f>J33+J43+J47</f>
        <v>40099.129999999997</v>
      </c>
      <c r="K49" s="739">
        <f>K35+K43+K47</f>
        <v>40099.129999999997</v>
      </c>
      <c r="L49" s="754"/>
    </row>
    <row r="50" spans="1:12" s="123" customFormat="1">
      <c r="A50" s="755" t="s">
        <v>109</v>
      </c>
      <c r="B50" s="755" t="s">
        <v>109</v>
      </c>
      <c r="C50" s="756"/>
      <c r="D50" s="708">
        <f t="shared" ref="D50:J50" si="14">D34+D41+D46</f>
        <v>0</v>
      </c>
      <c r="E50" s="790">
        <f>E34+E41+E46</f>
        <v>0</v>
      </c>
      <c r="F50" s="747">
        <f t="shared" si="14"/>
        <v>0</v>
      </c>
      <c r="G50" s="747">
        <f t="shared" si="14"/>
        <v>0</v>
      </c>
      <c r="H50" s="747">
        <f t="shared" si="14"/>
        <v>0</v>
      </c>
      <c r="I50" s="757">
        <f t="shared" si="14"/>
        <v>0</v>
      </c>
      <c r="J50" s="747">
        <f t="shared" si="14"/>
        <v>0</v>
      </c>
      <c r="K50" s="740">
        <f>D50+F50+G50+H50+I50</f>
        <v>0</v>
      </c>
      <c r="L50" s="754"/>
    </row>
    <row r="51" spans="1:12" s="123" customFormat="1" ht="15" thickBot="1">
      <c r="A51" s="758" t="s">
        <v>108</v>
      </c>
      <c r="B51" s="758" t="s">
        <v>108</v>
      </c>
      <c r="C51" s="759"/>
      <c r="D51" s="709">
        <f t="shared" ref="D51:J51" si="15">D35+D43+D47</f>
        <v>24968.629999999997</v>
      </c>
      <c r="E51" s="791">
        <f t="shared" ref="E51" si="16">SUM(E49:E50)</f>
        <v>21904.998</v>
      </c>
      <c r="F51" s="240">
        <f t="shared" si="15"/>
        <v>1208.97</v>
      </c>
      <c r="G51" s="240">
        <f t="shared" si="15"/>
        <v>7128.3700000000008</v>
      </c>
      <c r="H51" s="799">
        <f t="shared" si="15"/>
        <v>9856.7919999999995</v>
      </c>
      <c r="I51" s="760">
        <f t="shared" si="15"/>
        <v>0</v>
      </c>
      <c r="J51" s="780">
        <f t="shared" si="15"/>
        <v>40099.129999999997</v>
      </c>
      <c r="K51" s="743">
        <f>SUM(K49:K50)</f>
        <v>40099.129999999997</v>
      </c>
    </row>
    <row r="52" spans="1:12" s="595" customFormat="1" ht="15" thickBot="1">
      <c r="A52" s="624"/>
      <c r="B52" s="624"/>
      <c r="C52" s="624"/>
      <c r="D52" s="710"/>
      <c r="E52" s="622"/>
      <c r="F52" s="622"/>
      <c r="G52" s="622"/>
      <c r="H52" s="622"/>
      <c r="I52" s="735"/>
      <c r="J52" s="710" t="s">
        <v>422</v>
      </c>
      <c r="K52" s="745">
        <f>K35+K43+K47</f>
        <v>40099.129999999997</v>
      </c>
      <c r="L52" s="627"/>
    </row>
    <row r="53" spans="1:12" s="595" customFormat="1" ht="26.4" customHeight="1" thickBot="1">
      <c r="B53" s="919" t="s">
        <v>380</v>
      </c>
      <c r="C53" s="920"/>
      <c r="D53" s="921"/>
      <c r="E53" s="921"/>
      <c r="F53" s="921"/>
      <c r="G53" s="921"/>
      <c r="H53" s="921"/>
      <c r="I53" s="921"/>
      <c r="J53" s="922"/>
      <c r="K53" s="209"/>
      <c r="L53" s="628"/>
    </row>
    <row r="54" spans="1:12" s="595" customFormat="1" ht="31.95" customHeight="1">
      <c r="B54" s="923" t="s">
        <v>110</v>
      </c>
      <c r="C54" s="924"/>
      <c r="D54" s="927" t="s">
        <v>106</v>
      </c>
      <c r="E54" s="928"/>
      <c r="F54" s="929"/>
      <c r="G54" s="929"/>
      <c r="H54" s="930"/>
      <c r="I54" s="931" t="s">
        <v>89</v>
      </c>
      <c r="J54" s="456" t="s">
        <v>90</v>
      </c>
      <c r="K54" s="903" t="s">
        <v>337</v>
      </c>
      <c r="L54" s="46"/>
    </row>
    <row r="55" spans="1:12" s="595" customFormat="1" ht="35.4" customHeight="1">
      <c r="B55" s="925"/>
      <c r="C55" s="926"/>
      <c r="D55" s="457" t="s">
        <v>91</v>
      </c>
      <c r="E55" s="642"/>
      <c r="F55" s="179" t="s">
        <v>92</v>
      </c>
      <c r="G55" s="179" t="s">
        <v>338</v>
      </c>
      <c r="H55" s="436" t="s">
        <v>93</v>
      </c>
      <c r="I55" s="932"/>
      <c r="J55" s="458" t="s">
        <v>94</v>
      </c>
      <c r="K55" s="904"/>
    </row>
    <row r="56" spans="1:12" s="595" customFormat="1" ht="42.6" customHeight="1">
      <c r="B56" s="821" t="s">
        <v>95</v>
      </c>
      <c r="C56" s="822"/>
      <c r="D56" s="655">
        <v>18825.3</v>
      </c>
      <c r="E56" s="643"/>
      <c r="F56" s="631">
        <f>+ROUND(D56*23.8%,2)</f>
        <v>4480.42</v>
      </c>
      <c r="G56" s="631">
        <f>+ROUND(D56*0.5%,2)</f>
        <v>94.13</v>
      </c>
      <c r="H56" s="632">
        <f>+ROUND(D56*2.55%,2)</f>
        <v>480.05</v>
      </c>
      <c r="I56" s="736">
        <f>+ROUND((D56*8.5%)-(D56*2.55%),2)-0.01</f>
        <v>1120.0999999999999</v>
      </c>
      <c r="J56" s="637">
        <f>D56+F56+G56+H56+I56</f>
        <v>25000</v>
      </c>
      <c r="K56" s="640" t="s">
        <v>96</v>
      </c>
    </row>
    <row r="57" spans="1:12" s="595" customFormat="1" ht="53.4" customHeight="1">
      <c r="B57" s="821" t="s">
        <v>97</v>
      </c>
      <c r="C57" s="822"/>
      <c r="D57" s="656">
        <v>1740.45</v>
      </c>
      <c r="E57" s="644"/>
      <c r="F57" s="639">
        <f>+ROUND(D57*23.8%,2)</f>
        <v>414.23</v>
      </c>
      <c r="G57" s="631">
        <f>+ROUND(D57*0.5%,2)</f>
        <v>8.6999999999999993</v>
      </c>
      <c r="H57" s="632">
        <f>+ROUND(D57*2.55%,2)</f>
        <v>44.38</v>
      </c>
      <c r="I57" s="736">
        <f>+ROUND((D57*8.5%)-(D57*2.55%),2)-0.01</f>
        <v>103.55</v>
      </c>
      <c r="J57" s="637">
        <f>D57+F57+G57+H57+I57</f>
        <v>2311.3100000000004</v>
      </c>
      <c r="K57" s="640" t="s">
        <v>339</v>
      </c>
    </row>
    <row r="58" spans="1:12" s="595" customFormat="1" ht="27.6" customHeight="1" thickBot="1">
      <c r="B58" s="821" t="s">
        <v>98</v>
      </c>
      <c r="C58" s="822"/>
      <c r="D58" s="657">
        <v>3000</v>
      </c>
      <c r="E58" s="645"/>
      <c r="F58" s="633"/>
      <c r="G58" s="634"/>
      <c r="H58" s="635"/>
      <c r="I58" s="737"/>
      <c r="J58" s="638">
        <f>D58+F58+G58+H58+I58</f>
        <v>3000</v>
      </c>
      <c r="K58" s="641" t="s">
        <v>340</v>
      </c>
    </row>
    <row r="59" spans="1:12" s="123" customFormat="1" ht="15" customHeight="1" thickBot="1">
      <c r="A59" s="761"/>
      <c r="B59" s="761"/>
      <c r="C59" s="763"/>
      <c r="D59" s="711"/>
      <c r="E59" s="764"/>
      <c r="F59" s="754"/>
      <c r="G59" s="754"/>
      <c r="H59" s="754"/>
      <c r="I59" s="762"/>
      <c r="J59" s="754"/>
      <c r="K59" s="761"/>
      <c r="L59" s="754"/>
    </row>
    <row r="60" spans="1:12" s="595" customFormat="1" ht="30" customHeight="1" thickBot="1">
      <c r="B60" s="919" t="s">
        <v>381</v>
      </c>
      <c r="C60" s="920"/>
      <c r="D60" s="920"/>
      <c r="E60" s="920"/>
      <c r="F60" s="920"/>
      <c r="G60" s="920"/>
      <c r="H60" s="920"/>
      <c r="I60" s="920"/>
      <c r="J60" s="933"/>
      <c r="K60" s="628"/>
      <c r="L60" s="628"/>
    </row>
    <row r="61" spans="1:12" s="595" customFormat="1" ht="36" customHeight="1">
      <c r="B61" s="934" t="s">
        <v>111</v>
      </c>
      <c r="C61" s="935"/>
      <c r="D61" s="938" t="s">
        <v>107</v>
      </c>
      <c r="E61" s="939"/>
      <c r="F61" s="940"/>
      <c r="G61" s="941"/>
      <c r="H61" s="123"/>
      <c r="I61" s="942" t="s">
        <v>428</v>
      </c>
      <c r="J61" s="456" t="s">
        <v>90</v>
      </c>
      <c r="K61" s="944" t="s">
        <v>429</v>
      </c>
      <c r="L61" s="943" t="s">
        <v>430</v>
      </c>
    </row>
    <row r="62" spans="1:12" s="595" customFormat="1" ht="34.200000000000003" customHeight="1">
      <c r="B62" s="936"/>
      <c r="C62" s="937"/>
      <c r="D62" s="457" t="s">
        <v>91</v>
      </c>
      <c r="E62" s="642"/>
      <c r="F62" s="179" t="s">
        <v>92</v>
      </c>
      <c r="G62" s="179" t="s">
        <v>338</v>
      </c>
      <c r="H62" s="436" t="s">
        <v>93</v>
      </c>
      <c r="I62" s="942"/>
      <c r="J62" s="458" t="s">
        <v>94</v>
      </c>
      <c r="K62" s="945"/>
      <c r="L62" s="943"/>
    </row>
    <row r="63" spans="1:12" s="595" customFormat="1" ht="61.5" customHeight="1">
      <c r="B63" s="946" t="s">
        <v>425</v>
      </c>
      <c r="C63" s="947"/>
      <c r="D63" s="655">
        <v>11177.33</v>
      </c>
      <c r="E63" s="631">
        <v>11177.33</v>
      </c>
      <c r="F63" s="631">
        <f>+ROUND(D63*23.8%,2)</f>
        <v>2660.2</v>
      </c>
      <c r="G63" s="631">
        <f>+ROUND(D63*0.5%,2)</f>
        <v>55.89</v>
      </c>
      <c r="H63" s="632">
        <f>+ROUND(D63*2.55%,2)</f>
        <v>285.02</v>
      </c>
      <c r="I63" s="736">
        <f>+ROUND((D63*8.5%)-(D63*2.55%),2)</f>
        <v>665.05</v>
      </c>
      <c r="J63" s="458" t="s">
        <v>426</v>
      </c>
      <c r="K63" s="786" t="s">
        <v>383</v>
      </c>
      <c r="L63" s="792">
        <f>+ROUND((D63*8.5%)-(D63*2.55%),2)</f>
        <v>665.05</v>
      </c>
    </row>
    <row r="64" spans="1:12" s="595" customFormat="1" ht="36.75" customHeight="1">
      <c r="B64" s="821" t="s">
        <v>423</v>
      </c>
      <c r="C64" s="822"/>
      <c r="D64" s="656">
        <v>0</v>
      </c>
      <c r="E64" s="644">
        <v>0</v>
      </c>
      <c r="F64" s="631">
        <f>+ROUND(D64*23.8%,2)</f>
        <v>0</v>
      </c>
      <c r="G64" s="631">
        <f>+ROUND(D64*0.5%,2)</f>
        <v>0</v>
      </c>
      <c r="H64" s="632">
        <f>+ROUND(D64*2.55%,2)</f>
        <v>0</v>
      </c>
      <c r="I64" s="736">
        <f>+ROUND((D64*8.5%)-(D64*2.55%),2)</f>
        <v>0</v>
      </c>
      <c r="J64" s="637">
        <f>D64+F64+G64+H64+I64</f>
        <v>0</v>
      </c>
      <c r="K64" s="787" t="s">
        <v>382</v>
      </c>
      <c r="L64" s="792">
        <f t="shared" ref="L64:L65" si="17">+ROUND((D64*8.5%)-(D64*2.55%),2)</f>
        <v>0</v>
      </c>
    </row>
    <row r="65" spans="1:12" s="595" customFormat="1" ht="31.95" customHeight="1" thickBot="1">
      <c r="B65" s="821" t="s">
        <v>424</v>
      </c>
      <c r="C65" s="822"/>
      <c r="D65" s="766">
        <v>0</v>
      </c>
      <c r="E65" s="715">
        <v>0</v>
      </c>
      <c r="F65" s="631">
        <f>+ROUND(D65*23.8%,2)</f>
        <v>0</v>
      </c>
      <c r="G65" s="631">
        <f>+ROUND(D65*0.5%,2)</f>
        <v>0</v>
      </c>
      <c r="H65" s="632">
        <f>+ROUND(D65*2.55%,2)</f>
        <v>0</v>
      </c>
      <c r="I65" s="737"/>
      <c r="J65" s="638">
        <f>D65+F65+G65+H65+I65</f>
        <v>0</v>
      </c>
      <c r="K65" s="788" t="s">
        <v>382</v>
      </c>
      <c r="L65" s="792">
        <f t="shared" si="17"/>
        <v>0</v>
      </c>
    </row>
    <row r="66" spans="1:12" s="595" customFormat="1" ht="16.5" customHeight="1">
      <c r="B66" s="588"/>
      <c r="C66" s="588"/>
      <c r="D66" s="785">
        <f>D63+D64+D65</f>
        <v>11177.33</v>
      </c>
      <c r="E66" s="785">
        <f t="shared" ref="E66:H66" si="18">E63+E64+E65</f>
        <v>11177.33</v>
      </c>
      <c r="F66" s="785">
        <f t="shared" si="18"/>
        <v>2660.2</v>
      </c>
      <c r="G66" s="785">
        <f t="shared" si="18"/>
        <v>55.89</v>
      </c>
      <c r="H66" s="785">
        <f t="shared" si="18"/>
        <v>285.02</v>
      </c>
      <c r="I66" s="783"/>
      <c r="J66" s="764"/>
      <c r="K66" s="784"/>
      <c r="L66" s="123"/>
    </row>
    <row r="67" spans="1:12" s="595" customFormat="1" ht="6.75" customHeight="1">
      <c r="B67" s="588"/>
      <c r="C67" s="588"/>
      <c r="D67" s="782"/>
      <c r="E67" s="715"/>
      <c r="F67" s="631"/>
      <c r="G67" s="631"/>
      <c r="H67" s="632"/>
      <c r="I67" s="783"/>
      <c r="J67" s="764"/>
      <c r="K67" s="784"/>
      <c r="L67" s="123"/>
    </row>
    <row r="68" spans="1:12" s="595" customFormat="1">
      <c r="A68" s="629"/>
      <c r="B68" s="629"/>
      <c r="C68" s="629"/>
      <c r="D68" s="767" t="s">
        <v>427</v>
      </c>
      <c r="E68" s="765">
        <f>E51+E63+E64+E65</f>
        <v>33082.328000000001</v>
      </c>
      <c r="F68" s="765">
        <f t="shared" ref="F68:H68" si="19">F51+F63+F64+F65</f>
        <v>3869.17</v>
      </c>
      <c r="G68" s="765">
        <f t="shared" si="19"/>
        <v>7184.2600000000011</v>
      </c>
      <c r="H68" s="765">
        <f t="shared" si="19"/>
        <v>10141.812</v>
      </c>
      <c r="I68" s="738"/>
      <c r="J68" s="765">
        <f>J51+E66+F66+G66+H66</f>
        <v>54277.569999999992</v>
      </c>
      <c r="K68" s="629"/>
      <c r="L68" s="630"/>
    </row>
    <row r="69" spans="1:12" s="123" customFormat="1" ht="20.25" customHeight="1">
      <c r="A69" s="182"/>
      <c r="B69" s="182" t="s">
        <v>99</v>
      </c>
      <c r="C69" s="182"/>
      <c r="D69" s="699"/>
      <c r="F69" s="754"/>
      <c r="G69" s="794" t="s">
        <v>100</v>
      </c>
      <c r="H69" s="793"/>
      <c r="I69" s="762"/>
      <c r="J69" s="761"/>
      <c r="K69" s="754"/>
      <c r="L69" s="754"/>
    </row>
  </sheetData>
  <mergeCells count="32">
    <mergeCell ref="L61:L62"/>
    <mergeCell ref="K61:K62"/>
    <mergeCell ref="B63:C63"/>
    <mergeCell ref="B64:C64"/>
    <mergeCell ref="B65:C65"/>
    <mergeCell ref="B56:C56"/>
    <mergeCell ref="B57:C57"/>
    <mergeCell ref="B58:C58"/>
    <mergeCell ref="B60:J60"/>
    <mergeCell ref="B61:C62"/>
    <mergeCell ref="D61:G61"/>
    <mergeCell ref="I61:I62"/>
    <mergeCell ref="B1:J1"/>
    <mergeCell ref="D5:J5"/>
    <mergeCell ref="G9:G10"/>
    <mergeCell ref="K54:K55"/>
    <mergeCell ref="B40:C40"/>
    <mergeCell ref="B41:C41"/>
    <mergeCell ref="B42:C42"/>
    <mergeCell ref="B43:C43"/>
    <mergeCell ref="B45:C45"/>
    <mergeCell ref="B46:C46"/>
    <mergeCell ref="B47:C47"/>
    <mergeCell ref="B53:J53"/>
    <mergeCell ref="B54:C55"/>
    <mergeCell ref="D54:H54"/>
    <mergeCell ref="I54:I55"/>
    <mergeCell ref="G31:G32"/>
    <mergeCell ref="B27:B28"/>
    <mergeCell ref="A38:C38"/>
    <mergeCell ref="B2:J2"/>
    <mergeCell ref="B4:I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AB68"/>
  <sheetViews>
    <sheetView topLeftCell="B46" zoomScale="90" zoomScaleNormal="90" workbookViewId="0">
      <selection activeCell="G54" sqref="G54"/>
    </sheetView>
  </sheetViews>
  <sheetFormatPr defaultRowHeight="14.4"/>
  <cols>
    <col min="1" max="1" width="5.109375" customWidth="1"/>
    <col min="4" max="4" width="36.6640625" customWidth="1"/>
    <col min="5" max="5" width="0.33203125" customWidth="1"/>
    <col min="6" max="6" width="14.33203125" customWidth="1"/>
    <col min="7" max="7" width="18.33203125" customWidth="1"/>
    <col min="8" max="8" width="1.6640625" customWidth="1"/>
    <col min="9" max="9" width="15.109375" customWidth="1"/>
    <col min="10" max="10" width="43" customWidth="1"/>
    <col min="11" max="11" width="14.5546875" customWidth="1"/>
    <col min="12" max="12" width="18.44140625" customWidth="1"/>
    <col min="13" max="13" width="14.5546875" customWidth="1"/>
    <col min="14" max="14" width="16.109375" customWidth="1"/>
    <col min="15" max="15" width="16.44140625" customWidth="1"/>
    <col min="16" max="16" width="11.33203125" customWidth="1"/>
    <col min="17" max="17" width="10.109375" bestFit="1" customWidth="1"/>
    <col min="18" max="18" width="13.88671875" customWidth="1"/>
    <col min="19" max="19" width="13.5546875" customWidth="1"/>
    <col min="28" max="28" width="9.33203125" bestFit="1" customWidth="1"/>
  </cols>
  <sheetData>
    <row r="1" spans="2:14">
      <c r="B1" s="806" t="s">
        <v>343</v>
      </c>
      <c r="C1" s="806"/>
      <c r="D1" s="806"/>
      <c r="E1" s="806"/>
      <c r="F1" s="806"/>
      <c r="G1" s="806"/>
      <c r="H1" s="806"/>
      <c r="I1" s="806"/>
      <c r="J1" s="806"/>
      <c r="K1" s="806"/>
    </row>
    <row r="2" spans="2:14" ht="30.6" thickBot="1">
      <c r="B2" s="807" t="s">
        <v>113</v>
      </c>
      <c r="C2" s="807"/>
      <c r="D2" s="807"/>
      <c r="E2" s="807"/>
      <c r="F2" s="807"/>
      <c r="G2" s="807"/>
      <c r="H2" s="807"/>
      <c r="I2" s="807"/>
      <c r="J2" s="807"/>
      <c r="K2" s="807"/>
    </row>
    <row r="3" spans="2:14" ht="43.2" customHeight="1" thickBot="1">
      <c r="B3" s="811" t="s">
        <v>175</v>
      </c>
      <c r="C3" s="812"/>
      <c r="D3" s="812"/>
      <c r="E3" s="812"/>
      <c r="F3" s="812"/>
      <c r="G3" s="812"/>
      <c r="H3" s="812"/>
      <c r="I3" s="812"/>
      <c r="J3" s="812"/>
      <c r="K3" s="812"/>
      <c r="L3" s="948" t="s">
        <v>30</v>
      </c>
    </row>
    <row r="4" spans="2:14" ht="9" customHeight="1" thickBot="1">
      <c r="B4" s="6"/>
      <c r="C4" s="7"/>
      <c r="D4" s="7"/>
      <c r="E4" s="7"/>
      <c r="F4" s="7"/>
      <c r="G4" s="7"/>
      <c r="H4" s="7"/>
      <c r="I4" s="7"/>
      <c r="J4" s="7"/>
      <c r="K4" s="7"/>
      <c r="L4" s="949"/>
    </row>
    <row r="5" spans="2:14" ht="19.2" customHeight="1" thickBot="1">
      <c r="B5" s="811" t="s">
        <v>14</v>
      </c>
      <c r="C5" s="812"/>
      <c r="D5" s="812"/>
      <c r="E5" s="812"/>
      <c r="F5" s="812"/>
      <c r="G5" s="812"/>
      <c r="H5" s="812"/>
      <c r="I5" s="812"/>
      <c r="J5" s="812"/>
      <c r="K5" s="812"/>
      <c r="L5" s="949"/>
    </row>
    <row r="6" spans="2:14" ht="15" thickBot="1">
      <c r="B6" s="962" t="s">
        <v>9</v>
      </c>
      <c r="C6" s="963"/>
      <c r="D6" s="963"/>
      <c r="E6" s="963"/>
      <c r="F6" s="963"/>
      <c r="G6" s="963"/>
      <c r="H6" s="963"/>
      <c r="I6" s="963"/>
      <c r="J6" s="963"/>
      <c r="K6" s="963"/>
      <c r="L6" s="949"/>
    </row>
    <row r="7" spans="2:14" ht="24" customHeight="1">
      <c r="B7" s="813" t="s">
        <v>0</v>
      </c>
      <c r="C7" s="814"/>
      <c r="D7" s="814"/>
      <c r="E7" s="37" t="s">
        <v>6</v>
      </c>
      <c r="F7" s="38" t="s">
        <v>1</v>
      </c>
      <c r="G7" s="39" t="s">
        <v>2</v>
      </c>
      <c r="H7" s="40"/>
      <c r="I7" s="957" t="s">
        <v>8</v>
      </c>
      <c r="J7" s="958"/>
      <c r="K7" s="817" t="s">
        <v>5</v>
      </c>
      <c r="L7" s="950"/>
    </row>
    <row r="8" spans="2:14" ht="24" customHeight="1" thickBot="1">
      <c r="B8" s="819" t="s">
        <v>7</v>
      </c>
      <c r="C8" s="820"/>
      <c r="D8" s="820"/>
      <c r="E8" s="15"/>
      <c r="F8" s="19"/>
      <c r="G8" s="959">
        <f>F10+F11+F12+F13+F14+F15</f>
        <v>55764.2</v>
      </c>
      <c r="H8" s="8"/>
      <c r="I8" s="33" t="s">
        <v>4</v>
      </c>
      <c r="J8" s="96" t="s">
        <v>0</v>
      </c>
      <c r="K8" s="952"/>
      <c r="L8" s="951"/>
    </row>
    <row r="9" spans="2:14" ht="40.5" customHeight="1">
      <c r="B9" s="42" t="s">
        <v>3</v>
      </c>
      <c r="C9" s="10"/>
      <c r="D9" s="11"/>
      <c r="E9" s="10"/>
      <c r="F9" s="16"/>
      <c r="G9" s="960"/>
      <c r="H9" s="8"/>
      <c r="I9" s="328">
        <f>6900.99-310.81</f>
        <v>6590.1799999999994</v>
      </c>
      <c r="J9" s="112" t="s">
        <v>63</v>
      </c>
      <c r="L9" s="59"/>
      <c r="M9" s="99"/>
      <c r="N9" s="2"/>
    </row>
    <row r="10" spans="2:14" ht="45" customHeight="1">
      <c r="B10" s="832" t="s">
        <v>38</v>
      </c>
      <c r="C10" s="833"/>
      <c r="D10" s="834"/>
      <c r="E10" s="10"/>
      <c r="F10" s="320">
        <f>32000.42-1260.31</f>
        <v>30740.109999999997</v>
      </c>
      <c r="G10" s="960"/>
      <c r="H10" s="43"/>
      <c r="I10" s="210">
        <f>47739.86-1383.61</f>
        <v>46356.25</v>
      </c>
      <c r="J10" s="113" t="s">
        <v>185</v>
      </c>
      <c r="L10" s="67"/>
      <c r="M10" s="245"/>
      <c r="N10" s="2"/>
    </row>
    <row r="11" spans="2:14" ht="13.2" customHeight="1">
      <c r="B11" s="832" t="s">
        <v>18</v>
      </c>
      <c r="C11" s="833"/>
      <c r="D11" s="834"/>
      <c r="E11" s="10"/>
      <c r="F11" s="320">
        <v>262.62</v>
      </c>
      <c r="G11" s="960"/>
      <c r="H11" s="43"/>
      <c r="I11" s="243"/>
      <c r="J11" s="114"/>
      <c r="L11" s="67"/>
      <c r="M11" s="2"/>
      <c r="N11" s="2"/>
    </row>
    <row r="12" spans="2:14" ht="27" customHeight="1">
      <c r="B12" s="832" t="s">
        <v>324</v>
      </c>
      <c r="C12" s="833"/>
      <c r="D12" s="834"/>
      <c r="E12" s="10"/>
      <c r="F12" s="321">
        <v>10836.3</v>
      </c>
      <c r="G12" s="960"/>
      <c r="H12" s="8"/>
      <c r="I12" s="210">
        <f>11233.34-426.96</f>
        <v>10806.380000000001</v>
      </c>
      <c r="J12" s="113" t="s">
        <v>186</v>
      </c>
      <c r="L12" s="67"/>
      <c r="M12" s="99"/>
      <c r="N12" s="2"/>
    </row>
    <row r="13" spans="2:14" ht="28.2" customHeight="1">
      <c r="B13" s="832" t="s">
        <v>21</v>
      </c>
      <c r="C13" s="833"/>
      <c r="D13" s="834"/>
      <c r="E13" s="10"/>
      <c r="F13" s="321">
        <v>2819.11</v>
      </c>
      <c r="G13" s="960"/>
      <c r="H13" s="8"/>
      <c r="I13" s="329">
        <v>73.849999999999994</v>
      </c>
      <c r="J13" s="115" t="s">
        <v>31</v>
      </c>
      <c r="L13" s="67"/>
      <c r="M13" s="2"/>
      <c r="N13" s="2"/>
    </row>
    <row r="14" spans="2:14" ht="31.2" customHeight="1">
      <c r="B14" s="835" t="s">
        <v>327</v>
      </c>
      <c r="C14" s="836"/>
      <c r="D14" s="837"/>
      <c r="E14" s="47"/>
      <c r="F14" s="322">
        <v>6261.09</v>
      </c>
      <c r="G14" s="960"/>
      <c r="H14" s="8"/>
      <c r="I14" s="210">
        <f>64.56*(6-1)</f>
        <v>322.8</v>
      </c>
      <c r="J14" s="330" t="s">
        <v>32</v>
      </c>
      <c r="L14" s="67"/>
      <c r="M14" s="100"/>
      <c r="N14" s="2"/>
    </row>
    <row r="15" spans="2:14" ht="16.2" customHeight="1">
      <c r="B15" s="838" t="s">
        <v>176</v>
      </c>
      <c r="C15" s="839"/>
      <c r="D15" s="840"/>
      <c r="E15" s="211"/>
      <c r="F15" s="323">
        <v>4844.97</v>
      </c>
      <c r="G15" s="960"/>
      <c r="H15" s="8"/>
      <c r="I15" s="244"/>
      <c r="J15" s="67"/>
      <c r="K15" s="2"/>
      <c r="L15" s="67"/>
    </row>
    <row r="16" spans="2:14" ht="24.6" customHeight="1">
      <c r="B16" s="841" t="s">
        <v>177</v>
      </c>
      <c r="C16" s="827"/>
      <c r="D16" s="828"/>
      <c r="E16" s="10"/>
      <c r="F16" s="17">
        <f>SUM(F10:F15)</f>
        <v>55764.2</v>
      </c>
      <c r="G16" s="961"/>
      <c r="H16" s="8"/>
      <c r="I16" s="244"/>
      <c r="J16" s="67"/>
      <c r="K16" s="2"/>
      <c r="L16" s="67"/>
    </row>
    <row r="17" spans="2:28" ht="13.2" customHeight="1">
      <c r="B17" s="44"/>
      <c r="C17" s="10"/>
      <c r="D17" s="10"/>
      <c r="E17" s="10"/>
      <c r="F17" s="13"/>
      <c r="G17" s="26"/>
      <c r="H17" s="8"/>
      <c r="I17" s="244"/>
      <c r="J17" s="98"/>
      <c r="K17" s="2"/>
      <c r="L17" s="67"/>
    </row>
    <row r="18" spans="2:28" ht="16.95" customHeight="1">
      <c r="B18" s="842" t="s">
        <v>178</v>
      </c>
      <c r="C18" s="843"/>
      <c r="D18" s="843"/>
      <c r="E18" s="21"/>
      <c r="F18" s="23"/>
      <c r="G18" s="24">
        <f>F19+F20</f>
        <v>6099.36</v>
      </c>
      <c r="H18" s="8"/>
      <c r="I18" s="244"/>
      <c r="J18" s="69"/>
      <c r="K18" s="2"/>
      <c r="L18" s="67"/>
      <c r="AB18" s="1"/>
    </row>
    <row r="19" spans="2:28" ht="18" customHeight="1">
      <c r="B19" s="832" t="s">
        <v>326</v>
      </c>
      <c r="C19" s="833"/>
      <c r="D19" s="834"/>
      <c r="E19" s="10"/>
      <c r="F19" s="30">
        <v>3376.43</v>
      </c>
      <c r="G19" s="27"/>
      <c r="H19" s="8"/>
      <c r="I19" s="244"/>
      <c r="J19" s="67"/>
      <c r="K19" s="2"/>
      <c r="L19" s="67"/>
    </row>
    <row r="20" spans="2:28" ht="13.2" customHeight="1">
      <c r="B20" s="832" t="s">
        <v>325</v>
      </c>
      <c r="C20" s="833"/>
      <c r="D20" s="834"/>
      <c r="E20" s="10"/>
      <c r="F20" s="12">
        <v>2722.93</v>
      </c>
      <c r="G20" s="28"/>
      <c r="H20" s="8"/>
      <c r="I20" s="244"/>
      <c r="J20" s="67"/>
      <c r="K20" s="2"/>
      <c r="L20" s="67"/>
      <c r="M20" s="76"/>
      <c r="N20" s="76"/>
    </row>
    <row r="21" spans="2:28" ht="13.2" customHeight="1">
      <c r="B21" s="841" t="s">
        <v>17</v>
      </c>
      <c r="C21" s="827"/>
      <c r="D21" s="828"/>
      <c r="E21" s="14"/>
      <c r="F21" s="20">
        <f>SUM(F19:F20)</f>
        <v>6099.36</v>
      </c>
      <c r="G21" s="29"/>
      <c r="H21" s="8"/>
      <c r="I21" s="244"/>
      <c r="J21" s="67"/>
      <c r="K21" s="2"/>
      <c r="L21" s="67"/>
      <c r="M21" s="79"/>
      <c r="N21" s="76"/>
    </row>
    <row r="22" spans="2:28" ht="13.2" customHeight="1">
      <c r="B22" s="44"/>
      <c r="C22" s="10"/>
      <c r="D22" s="10"/>
      <c r="E22" s="10"/>
      <c r="F22" s="13"/>
      <c r="G22" s="18"/>
      <c r="H22" s="8"/>
      <c r="I22" s="244"/>
      <c r="J22" s="67"/>
      <c r="K22" s="2"/>
      <c r="L22" s="67"/>
      <c r="M22" s="79"/>
      <c r="N22" s="76"/>
    </row>
    <row r="23" spans="2:28" ht="13.2" customHeight="1">
      <c r="B23" s="844" t="s">
        <v>20</v>
      </c>
      <c r="C23" s="843"/>
      <c r="D23" s="843"/>
      <c r="E23" s="22"/>
      <c r="F23" s="23"/>
      <c r="G23" s="24">
        <f>F24</f>
        <v>2849.12</v>
      </c>
      <c r="H23" s="8"/>
      <c r="I23" s="244"/>
      <c r="J23" s="67"/>
      <c r="K23" s="2"/>
      <c r="L23" s="67"/>
      <c r="M23" s="79"/>
      <c r="N23" s="76"/>
    </row>
    <row r="24" spans="2:28" ht="13.2" customHeight="1">
      <c r="B24" s="826" t="s">
        <v>328</v>
      </c>
      <c r="C24" s="827"/>
      <c r="D24" s="828"/>
      <c r="E24" s="50"/>
      <c r="F24" s="20">
        <v>2849.12</v>
      </c>
      <c r="G24" s="31"/>
      <c r="H24" s="8"/>
      <c r="I24" s="244"/>
      <c r="J24" s="67"/>
      <c r="K24" s="3"/>
      <c r="L24" s="67"/>
      <c r="M24" s="79"/>
      <c r="N24" s="76"/>
    </row>
    <row r="25" spans="2:28" ht="13.2" customHeight="1">
      <c r="B25" s="44"/>
      <c r="C25" s="10"/>
      <c r="D25" s="10"/>
      <c r="E25" s="10"/>
      <c r="F25" s="13"/>
      <c r="G25" s="18"/>
      <c r="H25" s="8"/>
      <c r="I25" s="244"/>
      <c r="J25" s="67"/>
      <c r="K25" s="2"/>
      <c r="L25" s="67"/>
      <c r="M25" s="79"/>
      <c r="N25" s="76"/>
    </row>
    <row r="26" spans="2:28" ht="27" customHeight="1">
      <c r="B26" s="853" t="s">
        <v>19</v>
      </c>
      <c r="C26" s="843"/>
      <c r="D26" s="843"/>
      <c r="E26" s="10"/>
      <c r="F26" s="23"/>
      <c r="G26" s="24">
        <f>F27</f>
        <v>3848.7</v>
      </c>
      <c r="H26" s="8"/>
      <c r="I26" s="244"/>
      <c r="J26" s="67"/>
      <c r="K26" s="2"/>
      <c r="L26" s="67"/>
      <c r="M26" s="79"/>
      <c r="N26" s="76"/>
    </row>
    <row r="27" spans="2:28" ht="13.2" customHeight="1">
      <c r="B27" s="841" t="s">
        <v>329</v>
      </c>
      <c r="C27" s="827"/>
      <c r="D27" s="828"/>
      <c r="E27" s="10"/>
      <c r="F27" s="20">
        <v>3848.7</v>
      </c>
      <c r="G27" s="25"/>
      <c r="H27" s="8"/>
      <c r="I27" s="244"/>
      <c r="J27" s="67"/>
      <c r="K27" s="2"/>
      <c r="L27" s="67"/>
      <c r="M27" s="79"/>
      <c r="N27" s="76"/>
    </row>
    <row r="28" spans="2:28" ht="13.2" customHeight="1">
      <c r="B28" s="44"/>
      <c r="C28" s="10"/>
      <c r="D28" s="10"/>
      <c r="E28" s="10"/>
      <c r="F28" s="13"/>
      <c r="G28" s="18"/>
      <c r="H28" s="8"/>
      <c r="I28" s="244"/>
      <c r="J28" s="67"/>
      <c r="K28" s="2"/>
      <c r="L28" s="67"/>
      <c r="M28" s="79"/>
      <c r="N28" s="76"/>
    </row>
    <row r="29" spans="2:28" ht="23.4" customHeight="1">
      <c r="B29" s="853" t="s">
        <v>16</v>
      </c>
      <c r="C29" s="843"/>
      <c r="D29" s="843"/>
      <c r="E29" s="10"/>
      <c r="F29" s="23"/>
      <c r="G29" s="24">
        <f>F30</f>
        <v>5048.9400000000005</v>
      </c>
      <c r="H29" s="8"/>
      <c r="I29" s="244"/>
      <c r="J29" s="67"/>
      <c r="K29" s="2"/>
      <c r="L29" s="67"/>
      <c r="M29" s="78"/>
      <c r="N29" s="76"/>
    </row>
    <row r="30" spans="2:28" ht="15" customHeight="1" thickBot="1">
      <c r="B30" s="841" t="s">
        <v>15</v>
      </c>
      <c r="C30" s="827"/>
      <c r="D30" s="827"/>
      <c r="E30" s="10"/>
      <c r="F30" s="20">
        <f>4479.02+569.92</f>
        <v>5048.9400000000005</v>
      </c>
      <c r="G30" s="25"/>
      <c r="H30" s="8"/>
      <c r="I30" s="244"/>
      <c r="J30" s="60"/>
      <c r="K30" s="2"/>
      <c r="L30" s="67"/>
      <c r="M30" s="79"/>
      <c r="N30" s="76"/>
    </row>
    <row r="31" spans="2:28" ht="15" customHeight="1" thickBot="1">
      <c r="B31" s="854" t="s">
        <v>26</v>
      </c>
      <c r="C31" s="855"/>
      <c r="D31" s="855"/>
      <c r="E31" s="855"/>
      <c r="F31" s="856"/>
      <c r="G31" s="32">
        <f>G8+G18+G23+G26+G29</f>
        <v>73610.320000000007</v>
      </c>
      <c r="H31" s="8"/>
      <c r="I31" s="331">
        <f>SUM(I9:I16)</f>
        <v>64149.46</v>
      </c>
      <c r="J31" s="97" t="s">
        <v>22</v>
      </c>
      <c r="K31" s="90"/>
      <c r="L31" s="69"/>
      <c r="M31" s="83"/>
      <c r="N31" s="77"/>
    </row>
    <row r="32" spans="2:28" ht="24.6" customHeight="1" thickBot="1">
      <c r="B32" s="956" t="s">
        <v>323</v>
      </c>
      <c r="C32" s="956"/>
      <c r="D32" s="956"/>
      <c r="F32">
        <f>318.96-318.96</f>
        <v>0</v>
      </c>
      <c r="G32">
        <f>318.96-318.96</f>
        <v>0</v>
      </c>
      <c r="H32" s="65"/>
      <c r="J32" s="332" t="s">
        <v>102</v>
      </c>
      <c r="K32" s="333">
        <f>310.81+426.96+64.56+1383.61</f>
        <v>2185.9399999999996</v>
      </c>
      <c r="L32" s="67"/>
      <c r="M32" s="46"/>
      <c r="N32" s="1"/>
    </row>
    <row r="33" spans="2:18" ht="36.6" customHeight="1" thickBot="1">
      <c r="B33" s="879" t="s">
        <v>179</v>
      </c>
      <c r="C33" s="880"/>
      <c r="D33" s="880"/>
      <c r="E33" s="880"/>
      <c r="F33" s="880"/>
      <c r="G33" s="334">
        <f>-ROUND(G31*4.35%,2)</f>
        <v>-3202.05</v>
      </c>
      <c r="H33" s="61"/>
      <c r="I33" s="68">
        <f>G31-I31</f>
        <v>9460.8600000000079</v>
      </c>
      <c r="J33" s="66" t="s">
        <v>190</v>
      </c>
      <c r="K33" s="59"/>
      <c r="L33" s="67"/>
      <c r="M33" s="84"/>
      <c r="N33" s="1"/>
      <c r="O33" s="4"/>
      <c r="Q33" s="1"/>
    </row>
    <row r="34" spans="2:18" ht="15" customHeight="1">
      <c r="B34" s="62"/>
      <c r="C34" s="62"/>
      <c r="D34" s="120"/>
      <c r="E34" s="62"/>
      <c r="F34" s="62"/>
      <c r="G34" s="119"/>
      <c r="H34" s="8"/>
      <c r="I34" s="63"/>
      <c r="J34" s="64"/>
      <c r="K34" s="67"/>
      <c r="L34" s="67"/>
      <c r="M34" s="3"/>
      <c r="O34" s="71"/>
      <c r="R34" s="1"/>
    </row>
    <row r="35" spans="2:18" ht="6" customHeight="1" thickBot="1">
      <c r="B35" s="10"/>
      <c r="C35" s="10"/>
      <c r="D35" s="10"/>
      <c r="E35" s="10"/>
      <c r="F35" s="13"/>
      <c r="G35" s="18"/>
      <c r="H35" s="34"/>
      <c r="I35" s="35"/>
      <c r="J35" s="36"/>
      <c r="K35" s="67"/>
      <c r="L35" s="67"/>
      <c r="N35" s="1"/>
      <c r="O35" s="4"/>
    </row>
    <row r="36" spans="2:18" ht="28.2" customHeight="1" thickBot="1">
      <c r="B36" s="850" t="s">
        <v>10</v>
      </c>
      <c r="C36" s="851"/>
      <c r="D36" s="851"/>
      <c r="E36" s="851"/>
      <c r="F36" s="851"/>
      <c r="G36" s="852"/>
      <c r="H36" s="9"/>
      <c r="I36" s="345">
        <f>I33+G33</f>
        <v>6258.8100000000077</v>
      </c>
      <c r="J36" s="343" t="s">
        <v>191</v>
      </c>
      <c r="K36" s="60"/>
      <c r="L36" s="60"/>
      <c r="M36" s="1"/>
      <c r="O36" s="1"/>
    </row>
    <row r="37" spans="2:18" ht="13.2" customHeight="1" thickBot="1">
      <c r="B37" s="75" t="s">
        <v>23</v>
      </c>
      <c r="C37" s="5"/>
      <c r="D37" s="5"/>
      <c r="E37" s="5"/>
      <c r="F37" s="5"/>
      <c r="G37" s="48"/>
      <c r="H37" s="9"/>
      <c r="I37" s="35"/>
      <c r="J37" s="36"/>
      <c r="L37" s="58"/>
      <c r="O37" s="76"/>
    </row>
    <row r="38" spans="2:18" ht="15" customHeight="1">
      <c r="B38" s="821" t="s">
        <v>320</v>
      </c>
      <c r="C38" s="822"/>
      <c r="D38" s="823"/>
      <c r="E38" s="5"/>
      <c r="F38" s="45">
        <v>6505.64</v>
      </c>
      <c r="G38" s="48"/>
      <c r="H38" s="9"/>
      <c r="I38" s="35"/>
      <c r="J38" s="183"/>
      <c r="K38" s="59"/>
      <c r="L38" s="72"/>
      <c r="O38" s="77"/>
    </row>
    <row r="39" spans="2:18" ht="30.6" customHeight="1">
      <c r="B39" s="821" t="s">
        <v>180</v>
      </c>
      <c r="C39" s="822"/>
      <c r="D39" s="823"/>
      <c r="E39" s="5"/>
      <c r="F39" s="45">
        <v>20000</v>
      </c>
      <c r="G39" s="48"/>
      <c r="H39" s="9"/>
      <c r="I39" s="35"/>
      <c r="J39" s="1">
        <f>F42+F43+F44</f>
        <v>23565.75</v>
      </c>
      <c r="K39" s="67"/>
      <c r="L39" s="41"/>
      <c r="O39" s="77"/>
    </row>
    <row r="40" spans="2:18" ht="16.2" customHeight="1" thickBot="1">
      <c r="B40" s="821" t="s">
        <v>181</v>
      </c>
      <c r="C40" s="822"/>
      <c r="D40" s="823"/>
      <c r="E40" s="2"/>
      <c r="F40" s="45">
        <v>0</v>
      </c>
      <c r="G40" s="41"/>
      <c r="H40" s="9"/>
      <c r="K40" s="67"/>
      <c r="L40" s="41"/>
      <c r="M40" s="76"/>
      <c r="O40" s="77"/>
    </row>
    <row r="41" spans="2:18" ht="15" customHeight="1" thickBot="1">
      <c r="B41" s="89" t="s">
        <v>36</v>
      </c>
      <c r="C41" s="5"/>
      <c r="D41" s="5"/>
      <c r="E41" s="5"/>
      <c r="F41" s="5"/>
      <c r="G41" s="48"/>
      <c r="H41" s="9"/>
      <c r="I41" s="35"/>
      <c r="J41" s="183"/>
      <c r="K41" s="58" t="s">
        <v>5</v>
      </c>
      <c r="L41" s="109" t="s">
        <v>37</v>
      </c>
      <c r="M41" s="77"/>
      <c r="N41" s="76"/>
      <c r="O41" s="76"/>
    </row>
    <row r="42" spans="2:18" ht="47.25" customHeight="1">
      <c r="B42" s="821" t="s">
        <v>182</v>
      </c>
      <c r="C42" s="822"/>
      <c r="D42" s="823"/>
      <c r="E42" s="5"/>
      <c r="F42" s="45">
        <v>1740.45</v>
      </c>
      <c r="G42" s="249"/>
      <c r="H42" s="9"/>
      <c r="I42" s="35"/>
      <c r="J42" s="183"/>
      <c r="K42" s="59"/>
      <c r="L42" s="41"/>
      <c r="M42" s="77"/>
      <c r="N42" s="76"/>
      <c r="O42" s="76"/>
    </row>
    <row r="43" spans="2:18" ht="63" customHeight="1" thickBot="1">
      <c r="B43" s="821" t="s">
        <v>330</v>
      </c>
      <c r="C43" s="822"/>
      <c r="D43" s="823"/>
      <c r="E43" s="5"/>
      <c r="F43" s="101">
        <v>18825.3</v>
      </c>
      <c r="G43" s="483"/>
      <c r="H43" s="9"/>
      <c r="I43" s="35"/>
      <c r="J43" s="1">
        <f>J39-J42</f>
        <v>23565.75</v>
      </c>
      <c r="K43" s="67"/>
      <c r="L43" s="41"/>
      <c r="M43" s="184"/>
      <c r="O43" s="76"/>
    </row>
    <row r="44" spans="2:18" ht="45.75" customHeight="1" thickBot="1">
      <c r="B44" s="821" t="s">
        <v>11</v>
      </c>
      <c r="C44" s="822"/>
      <c r="D44" s="823"/>
      <c r="E44" s="5"/>
      <c r="F44" s="101">
        <v>3000</v>
      </c>
      <c r="G44" s="249"/>
      <c r="H44" s="9"/>
      <c r="I44" s="340">
        <f>-G33-G47</f>
        <v>4430.75</v>
      </c>
      <c r="J44" s="341" t="s">
        <v>187</v>
      </c>
      <c r="K44" s="342" t="s">
        <v>188</v>
      </c>
      <c r="L44" s="340">
        <f>-I44+2185.94+360+619.8+206.6+0</f>
        <v>-1058.4100000000001</v>
      </c>
      <c r="M44" s="1"/>
      <c r="N44" s="1"/>
    </row>
    <row r="45" spans="2:18" ht="34.200000000000003" customHeight="1">
      <c r="B45" s="953" t="s">
        <v>321</v>
      </c>
      <c r="C45" s="954"/>
      <c r="D45" s="955"/>
      <c r="E45" s="5"/>
      <c r="F45" s="102">
        <f>650.23-650.23</f>
        <v>0</v>
      </c>
      <c r="G45" s="48"/>
      <c r="H45" s="9"/>
      <c r="I45" s="35"/>
      <c r="J45" s="36"/>
      <c r="K45" s="67"/>
      <c r="L45" s="41"/>
      <c r="N45" s="1"/>
    </row>
    <row r="46" spans="2:18" ht="50.25" customHeight="1" thickBot="1">
      <c r="B46" s="876" t="s">
        <v>33</v>
      </c>
      <c r="C46" s="877"/>
      <c r="D46" s="878"/>
      <c r="E46" s="5"/>
      <c r="F46" s="70">
        <f>SUM(F38:F45)</f>
        <v>50071.39</v>
      </c>
      <c r="G46" s="49">
        <f>F46</f>
        <v>50071.39</v>
      </c>
      <c r="H46" s="9"/>
      <c r="I46" s="344">
        <f>F38+F39+F40+G47</f>
        <v>25276.94</v>
      </c>
      <c r="J46" s="212" t="s">
        <v>192</v>
      </c>
      <c r="K46" s="116"/>
      <c r="L46" s="117"/>
      <c r="N46" s="1"/>
    </row>
    <row r="47" spans="2:18" ht="43.2" customHeight="1" thickBot="1">
      <c r="B47" s="879" t="s">
        <v>183</v>
      </c>
      <c r="C47" s="880"/>
      <c r="D47" s="880"/>
      <c r="E47" s="880"/>
      <c r="F47" s="880"/>
      <c r="G47" s="335">
        <f>-ROUND((F38+F39+F42)*4.35%,2)</f>
        <v>-1228.7</v>
      </c>
      <c r="H47" s="9"/>
      <c r="I47" s="35"/>
      <c r="J47" s="77"/>
      <c r="K47" s="118"/>
      <c r="L47" s="117"/>
    </row>
    <row r="48" spans="2:18" ht="13.2" customHeight="1" thickBot="1">
      <c r="B48" s="121"/>
      <c r="C48" s="121"/>
      <c r="D48" s="120"/>
      <c r="E48" s="121"/>
      <c r="F48" s="432">
        <f>F46+G47</f>
        <v>48842.69</v>
      </c>
      <c r="G48" s="122"/>
      <c r="H48" s="9"/>
      <c r="I48" s="35"/>
      <c r="J48" s="36"/>
      <c r="K48" s="95"/>
      <c r="L48" s="67"/>
    </row>
    <row r="49" spans="2:20" ht="27.75" customHeight="1" thickBot="1">
      <c r="B49" s="964" t="s">
        <v>27</v>
      </c>
      <c r="C49" s="965"/>
      <c r="D49" s="965"/>
      <c r="E49" s="252"/>
      <c r="F49" s="430"/>
      <c r="G49" s="429">
        <f>G31+G46</f>
        <v>123681.71</v>
      </c>
      <c r="H49" s="9"/>
      <c r="J49" s="53"/>
      <c r="K49" s="91"/>
      <c r="L49" s="67"/>
      <c r="M49" s="1"/>
    </row>
    <row r="50" spans="2:20" ht="27.6" customHeight="1" thickBot="1">
      <c r="B50" s="336" t="s">
        <v>119</v>
      </c>
      <c r="C50" s="337"/>
      <c r="D50" s="337"/>
      <c r="E50" s="338"/>
      <c r="F50" s="338"/>
      <c r="G50" s="339">
        <f>+G33+G47</f>
        <v>-4430.75</v>
      </c>
      <c r="H50" s="9"/>
      <c r="I50" s="346">
        <f>I46+I36</f>
        <v>31535.750000000007</v>
      </c>
      <c r="J50" s="347" t="s">
        <v>193</v>
      </c>
      <c r="K50" s="92" t="s">
        <v>24</v>
      </c>
      <c r="L50" s="69"/>
      <c r="M50" s="1"/>
    </row>
    <row r="51" spans="2:20" ht="17.399999999999999" customHeight="1" thickBot="1">
      <c r="B51" s="881" t="s">
        <v>120</v>
      </c>
      <c r="C51" s="882"/>
      <c r="D51" s="882"/>
      <c r="E51" s="882"/>
      <c r="F51" s="882"/>
      <c r="G51" s="253">
        <f>G49+G50</f>
        <v>119250.96</v>
      </c>
      <c r="H51" s="57"/>
      <c r="I51" s="54">
        <f>-F40</f>
        <v>0</v>
      </c>
      <c r="J51" s="52"/>
      <c r="K51" s="93" t="s">
        <v>101</v>
      </c>
      <c r="L51" s="67"/>
    </row>
    <row r="52" spans="2:20" ht="25.2" customHeight="1" thickBot="1">
      <c r="B52" s="5"/>
      <c r="C52" s="5"/>
      <c r="D52" s="5"/>
      <c r="E52" s="5"/>
      <c r="F52" s="250" t="s">
        <v>34</v>
      </c>
      <c r="G52" s="251" t="s">
        <v>35</v>
      </c>
      <c r="H52" s="57"/>
      <c r="I52" s="55">
        <f>I50+I51</f>
        <v>31535.750000000007</v>
      </c>
      <c r="J52" s="56" t="s">
        <v>194</v>
      </c>
      <c r="K52" s="94" t="s">
        <v>195</v>
      </c>
      <c r="L52" s="60"/>
    </row>
    <row r="53" spans="2:20" ht="13.95" customHeight="1" thickBot="1">
      <c r="B53" s="966" t="s">
        <v>12</v>
      </c>
      <c r="C53" s="967"/>
      <c r="D53" s="967"/>
      <c r="E53" s="5"/>
      <c r="F53" s="103">
        <v>119299</v>
      </c>
      <c r="G53" s="106"/>
      <c r="H53" s="5"/>
      <c r="I53" s="35" t="s">
        <v>25</v>
      </c>
      <c r="J53" s="36"/>
    </row>
    <row r="54" spans="2:20" ht="27" customHeight="1" thickBot="1">
      <c r="B54" s="968" t="s">
        <v>352</v>
      </c>
      <c r="C54" s="969"/>
      <c r="D54" s="969"/>
      <c r="E54" s="5"/>
      <c r="F54" s="104">
        <f>-13446.95-3374</f>
        <v>-16820.95</v>
      </c>
      <c r="G54" s="108">
        <f>-13446.95-3374</f>
        <v>-16820.95</v>
      </c>
      <c r="H54" s="5"/>
      <c r="I54" s="35">
        <f>-3202.05-1228.7</f>
        <v>-4430.75</v>
      </c>
      <c r="J54" s="36"/>
    </row>
    <row r="55" spans="2:20" ht="25.95" customHeight="1">
      <c r="B55" s="968" t="s">
        <v>353</v>
      </c>
      <c r="C55" s="969"/>
      <c r="D55" s="969"/>
      <c r="E55" s="5"/>
      <c r="F55" s="104">
        <f>+F43+F40+F44+F45</f>
        <v>21825.3</v>
      </c>
      <c r="G55" s="107"/>
      <c r="H55" s="5"/>
      <c r="I55" s="186"/>
      <c r="J55" s="974" t="s">
        <v>189</v>
      </c>
      <c r="K55" s="246" t="s">
        <v>116</v>
      </c>
      <c r="L55" s="247" t="s">
        <v>117</v>
      </c>
      <c r="M55" s="248" t="s">
        <v>118</v>
      </c>
      <c r="N55" s="352"/>
      <c r="O55" s="862"/>
    </row>
    <row r="56" spans="2:20" ht="28.2" customHeight="1" thickBot="1">
      <c r="B56" s="863" t="s">
        <v>13</v>
      </c>
      <c r="C56" s="864"/>
      <c r="D56" s="864"/>
      <c r="E56" s="5"/>
      <c r="F56" s="110">
        <f>F53+F54+F55</f>
        <v>124303.35</v>
      </c>
      <c r="G56" s="105"/>
      <c r="H56" s="5"/>
      <c r="I56" s="186"/>
      <c r="J56" s="975"/>
      <c r="K56" s="254">
        <f>G31+F39+F38+F42</f>
        <v>101856.41</v>
      </c>
      <c r="L56" s="255">
        <f>ROUND(-K56*4.35%,2)</f>
        <v>-4430.75</v>
      </c>
      <c r="M56" s="256">
        <f>K56+L56</f>
        <v>97425.66</v>
      </c>
      <c r="N56" s="242"/>
      <c r="O56" s="862"/>
    </row>
    <row r="57" spans="2:20" ht="15.6" customHeight="1" thickBot="1">
      <c r="B57" s="976" t="s">
        <v>184</v>
      </c>
      <c r="C57" s="977"/>
      <c r="D57" s="978"/>
      <c r="E57" s="5"/>
      <c r="F57" s="327">
        <f>F56+G50</f>
        <v>119872.6</v>
      </c>
      <c r="G57" s="472"/>
      <c r="H57" s="5"/>
      <c r="I57" s="473"/>
      <c r="J57" s="257"/>
      <c r="K57" s="324"/>
      <c r="L57" s="325"/>
      <c r="M57" s="326"/>
      <c r="N57" s="353"/>
      <c r="O57" s="354"/>
    </row>
    <row r="58" spans="2:20" ht="69" customHeight="1" thickBot="1">
      <c r="B58" s="970" t="s">
        <v>331</v>
      </c>
      <c r="C58" s="971"/>
      <c r="D58" s="971"/>
      <c r="E58" s="972"/>
      <c r="F58" s="973"/>
      <c r="G58" s="472"/>
      <c r="H58" s="5"/>
      <c r="I58" s="35"/>
      <c r="J58" s="258" t="s">
        <v>121</v>
      </c>
      <c r="K58" s="348">
        <f>K56</f>
        <v>101856.41</v>
      </c>
      <c r="L58" s="349">
        <f>L56</f>
        <v>-4430.75</v>
      </c>
      <c r="M58" s="259">
        <f>K58+L58</f>
        <v>97425.66</v>
      </c>
      <c r="N58" s="355"/>
      <c r="O58" s="356"/>
    </row>
    <row r="59" spans="2:20" ht="17.25" customHeight="1" thickBot="1">
      <c r="B59" s="74"/>
      <c r="C59" s="74"/>
      <c r="D59" s="74"/>
      <c r="E59" s="74"/>
      <c r="F59" s="74"/>
      <c r="G59" s="5"/>
      <c r="H59" s="5"/>
      <c r="I59" s="35"/>
      <c r="K59" s="351" t="s">
        <v>196</v>
      </c>
      <c r="L59" s="350"/>
      <c r="M59" s="357">
        <f>G49+L56</f>
        <v>119250.96</v>
      </c>
      <c r="N59" s="428" t="s">
        <v>322</v>
      </c>
    </row>
    <row r="60" spans="2:20" s="2" customFormat="1">
      <c r="B60" s="79"/>
      <c r="C60" s="79"/>
      <c r="D60" s="123" t="s">
        <v>28</v>
      </c>
      <c r="E60" s="124"/>
      <c r="F60" s="124"/>
      <c r="G60" s="123" t="s">
        <v>29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2:20" s="2" customFormat="1">
      <c r="B61" s="79"/>
      <c r="C61" s="79"/>
      <c r="D61"/>
      <c r="E61" s="81"/>
      <c r="F61" s="433"/>
      <c r="G61"/>
      <c r="H61" s="81"/>
      <c r="I61" s="81"/>
      <c r="J61" s="81"/>
      <c r="K61" s="81"/>
      <c r="L61" s="81"/>
      <c r="M61" s="875"/>
      <c r="N61" s="875"/>
      <c r="O61" s="85"/>
      <c r="P61" s="87"/>
      <c r="Q61" s="81"/>
      <c r="R61" s="81"/>
      <c r="S61" s="85"/>
      <c r="T61" s="86"/>
    </row>
    <row r="62" spans="2:20" s="2" customFormat="1">
      <c r="B62" s="79"/>
      <c r="C62" s="79"/>
      <c r="D62" s="81"/>
      <c r="E62" s="81"/>
      <c r="F62" s="434"/>
      <c r="G62" s="474"/>
      <c r="H62" s="81"/>
      <c r="I62" s="81"/>
      <c r="J62" s="81"/>
      <c r="K62" s="81"/>
      <c r="L62" s="81"/>
      <c r="M62" s="857"/>
      <c r="N62" s="857"/>
      <c r="O62" s="85"/>
      <c r="P62" s="858"/>
      <c r="Q62" s="858"/>
      <c r="R62" s="81"/>
      <c r="S62" s="85"/>
      <c r="T62" s="81"/>
    </row>
    <row r="63" spans="2:20" s="2" customFormat="1" ht="15.75" customHeight="1">
      <c r="B63" s="79"/>
      <c r="C63" s="79"/>
      <c r="D63" s="79"/>
      <c r="E63" s="79"/>
      <c r="F63" s="88"/>
      <c r="G63" s="474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</row>
    <row r="64" spans="2:20" s="2" customFormat="1" ht="15.75" customHeight="1">
      <c r="B64" s="79"/>
      <c r="C64" s="79"/>
      <c r="D64" s="82"/>
      <c r="E64" s="79"/>
      <c r="F64" s="79"/>
      <c r="G64" s="88"/>
      <c r="H64" s="79"/>
      <c r="I64" s="79"/>
      <c r="J64" s="79"/>
      <c r="K64" s="88"/>
      <c r="L64" s="79"/>
      <c r="M64" s="79"/>
      <c r="N64" s="79"/>
      <c r="O64" s="79"/>
      <c r="P64" s="79"/>
      <c r="Q64" s="79"/>
      <c r="R64" s="79"/>
      <c r="S64" s="79"/>
      <c r="T64" s="79"/>
    </row>
    <row r="65" spans="2:20">
      <c r="B65" s="76"/>
      <c r="C65" s="76"/>
      <c r="D65" s="76"/>
      <c r="E65" s="76"/>
      <c r="F65" s="76"/>
      <c r="G65" s="76"/>
      <c r="H65" s="76"/>
      <c r="I65" s="76"/>
      <c r="J65" s="76"/>
      <c r="K65" s="80"/>
      <c r="L65" s="76"/>
      <c r="M65" s="76"/>
      <c r="N65" s="76"/>
      <c r="O65" s="76"/>
      <c r="P65" s="76"/>
      <c r="Q65" s="76"/>
      <c r="R65" s="76"/>
      <c r="S65" s="76"/>
      <c r="T65" s="76"/>
    </row>
    <row r="66" spans="2:20">
      <c r="B66" s="76"/>
      <c r="C66" s="76"/>
      <c r="D66" s="76"/>
      <c r="E66" s="76"/>
      <c r="F66" s="76"/>
      <c r="G66" s="76"/>
      <c r="H66" s="76"/>
      <c r="I66" s="76"/>
      <c r="J66" s="76"/>
      <c r="K66" s="80"/>
      <c r="L66" s="76"/>
      <c r="M66" s="76"/>
      <c r="N66" s="76"/>
      <c r="O66" s="76"/>
      <c r="P66" s="76"/>
      <c r="Q66" s="76"/>
      <c r="R66" s="76"/>
      <c r="S66" s="76"/>
      <c r="T66" s="76"/>
    </row>
    <row r="67" spans="2:20">
      <c r="B67" s="76"/>
      <c r="C67" s="76"/>
      <c r="E67" s="80"/>
      <c r="F67" s="76"/>
      <c r="G67" s="76"/>
      <c r="H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</row>
    <row r="68" spans="2:20">
      <c r="E68" s="51"/>
    </row>
  </sheetData>
  <mergeCells count="54">
    <mergeCell ref="O55:O56"/>
    <mergeCell ref="P62:Q62"/>
    <mergeCell ref="M61:N61"/>
    <mergeCell ref="M62:N62"/>
    <mergeCell ref="B58:F58"/>
    <mergeCell ref="J55:J56"/>
    <mergeCell ref="B57:D57"/>
    <mergeCell ref="B49:D49"/>
    <mergeCell ref="B53:D53"/>
    <mergeCell ref="B54:D54"/>
    <mergeCell ref="B55:D55"/>
    <mergeCell ref="B56:D56"/>
    <mergeCell ref="B51:F51"/>
    <mergeCell ref="B1:K1"/>
    <mergeCell ref="B5:K5"/>
    <mergeCell ref="B7:D7"/>
    <mergeCell ref="B8:D8"/>
    <mergeCell ref="B10:D10"/>
    <mergeCell ref="I7:J7"/>
    <mergeCell ref="G8:G16"/>
    <mergeCell ref="B2:K2"/>
    <mergeCell ref="B3:K3"/>
    <mergeCell ref="B6:K6"/>
    <mergeCell ref="B15:D15"/>
    <mergeCell ref="B16:D16"/>
    <mergeCell ref="B11:D11"/>
    <mergeCell ref="B12:D12"/>
    <mergeCell ref="B13:D13"/>
    <mergeCell ref="B29:D29"/>
    <mergeCell ref="B43:D43"/>
    <mergeCell ref="B40:D40"/>
    <mergeCell ref="B42:D42"/>
    <mergeCell ref="B21:D21"/>
    <mergeCell ref="B24:D24"/>
    <mergeCell ref="B39:D39"/>
    <mergeCell ref="B31:F31"/>
    <mergeCell ref="B33:F33"/>
    <mergeCell ref="B32:D32"/>
    <mergeCell ref="B44:D44"/>
    <mergeCell ref="L3:L8"/>
    <mergeCell ref="K7:K8"/>
    <mergeCell ref="B46:D46"/>
    <mergeCell ref="B47:F47"/>
    <mergeCell ref="B45:D45"/>
    <mergeCell ref="B38:D38"/>
    <mergeCell ref="B23:D23"/>
    <mergeCell ref="B14:D14"/>
    <mergeCell ref="B26:D26"/>
    <mergeCell ref="B27:D27"/>
    <mergeCell ref="B30:D30"/>
    <mergeCell ref="B36:G36"/>
    <mergeCell ref="B18:D18"/>
    <mergeCell ref="B20:D20"/>
    <mergeCell ref="B19:D1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6"/>
  <sheetViews>
    <sheetView zoomScale="80" zoomScaleNormal="80" workbookViewId="0">
      <selection activeCell="K27" sqref="K27"/>
    </sheetView>
  </sheetViews>
  <sheetFormatPr defaultRowHeight="14.4"/>
  <cols>
    <col min="1" max="1" width="32.88671875" customWidth="1"/>
    <col min="2" max="2" width="8.44140625" customWidth="1"/>
    <col min="3" max="3" width="12" customWidth="1"/>
    <col min="4" max="5" width="11.44140625" customWidth="1"/>
    <col min="6" max="6" width="10.88671875" customWidth="1"/>
    <col min="7" max="7" width="9.88671875" customWidth="1"/>
    <col min="8" max="8" width="10" customWidth="1"/>
    <col min="9" max="9" width="15.88671875" customWidth="1"/>
  </cols>
  <sheetData>
    <row r="1" spans="1:10" ht="17.399999999999999">
      <c r="A1" s="899" t="s">
        <v>64</v>
      </c>
      <c r="B1" s="899"/>
      <c r="C1" s="899"/>
      <c r="D1" s="899"/>
      <c r="E1" s="899"/>
      <c r="F1" s="899"/>
      <c r="G1" s="899"/>
      <c r="H1" s="899"/>
      <c r="I1" s="439"/>
      <c r="J1" s="439"/>
    </row>
    <row r="2" spans="1:10">
      <c r="A2" s="125" t="s">
        <v>332</v>
      </c>
      <c r="B2" s="125"/>
      <c r="C2" s="125"/>
      <c r="D2" s="125"/>
      <c r="E2" s="125"/>
      <c r="F2" s="125"/>
      <c r="G2" s="125"/>
      <c r="H2" s="125"/>
    </row>
    <row r="3" spans="1:10" ht="4.95" customHeight="1" thickBot="1">
      <c r="A3" s="126"/>
      <c r="B3" s="126"/>
      <c r="C3" s="126"/>
      <c r="D3" s="126"/>
      <c r="E3" s="126"/>
      <c r="F3" s="126"/>
      <c r="G3" s="126"/>
      <c r="H3" s="126"/>
    </row>
    <row r="4" spans="1:10" ht="16.2" customHeight="1" thickBot="1">
      <c r="A4" s="811" t="s">
        <v>114</v>
      </c>
      <c r="B4" s="812"/>
      <c r="C4" s="812"/>
      <c r="D4" s="812"/>
      <c r="E4" s="812"/>
      <c r="F4" s="812"/>
      <c r="G4" s="812"/>
      <c r="H4" s="996"/>
      <c r="I4" s="127"/>
      <c r="J4" s="127"/>
    </row>
    <row r="5" spans="1:10" ht="15" thickBot="1">
      <c r="A5" s="128">
        <v>1</v>
      </c>
      <c r="B5" s="129">
        <v>2</v>
      </c>
      <c r="C5" s="900" t="s">
        <v>65</v>
      </c>
      <c r="D5" s="901"/>
      <c r="E5" s="901"/>
      <c r="F5" s="901"/>
      <c r="G5" s="901"/>
      <c r="H5" s="902"/>
      <c r="I5" s="130"/>
      <c r="J5" s="130"/>
    </row>
    <row r="6" spans="1:10" ht="79.95" customHeight="1" thickBot="1">
      <c r="A6" s="131" t="s">
        <v>66</v>
      </c>
      <c r="B6" s="132" t="s">
        <v>67</v>
      </c>
      <c r="C6" s="214" t="s">
        <v>68</v>
      </c>
      <c r="D6" s="213" t="s">
        <v>69</v>
      </c>
      <c r="E6" s="213" t="s">
        <v>105</v>
      </c>
      <c r="F6" s="213" t="s">
        <v>70</v>
      </c>
      <c r="G6" s="133" t="s">
        <v>71</v>
      </c>
      <c r="H6" s="134" t="s">
        <v>72</v>
      </c>
      <c r="I6" s="135"/>
      <c r="J6" s="135"/>
    </row>
    <row r="7" spans="1:10">
      <c r="A7" s="136" t="s">
        <v>73</v>
      </c>
      <c r="B7" s="137"/>
      <c r="C7" s="138"/>
      <c r="D7" s="188"/>
      <c r="E7" s="139"/>
      <c r="F7" s="139"/>
      <c r="G7" s="140"/>
      <c r="H7" s="141"/>
      <c r="I7" s="135"/>
      <c r="J7" s="135"/>
    </row>
    <row r="8" spans="1:10" ht="15" thickBot="1">
      <c r="A8" s="142" t="s">
        <v>74</v>
      </c>
      <c r="B8" s="143" t="s">
        <v>46</v>
      </c>
      <c r="C8" s="190"/>
      <c r="D8" s="191"/>
      <c r="E8" s="192"/>
      <c r="F8" s="191"/>
      <c r="G8" s="191"/>
      <c r="H8" s="193"/>
      <c r="I8" s="144"/>
      <c r="J8" s="144"/>
    </row>
    <row r="9" spans="1:10">
      <c r="A9" s="145" t="s">
        <v>56</v>
      </c>
      <c r="B9" s="143" t="s">
        <v>46</v>
      </c>
      <c r="C9" s="190"/>
      <c r="D9" s="194"/>
      <c r="E9" s="891">
        <f>((41.32*64)+(20.66*51))</f>
        <v>3698.1400000000003</v>
      </c>
      <c r="F9" s="195"/>
      <c r="G9" s="191"/>
      <c r="H9" s="193"/>
      <c r="I9" s="144"/>
      <c r="J9" s="144"/>
    </row>
    <row r="10" spans="1:10" ht="15" thickBot="1">
      <c r="A10" s="145" t="s">
        <v>55</v>
      </c>
      <c r="B10" s="143" t="s">
        <v>57</v>
      </c>
      <c r="C10" s="190"/>
      <c r="D10" s="194"/>
      <c r="E10" s="892"/>
      <c r="F10" s="195"/>
      <c r="G10" s="191"/>
      <c r="H10" s="193"/>
      <c r="I10" s="144"/>
      <c r="J10" s="144"/>
    </row>
    <row r="11" spans="1:10">
      <c r="A11" s="142" t="s">
        <v>52</v>
      </c>
      <c r="B11" s="143" t="s">
        <v>42</v>
      </c>
      <c r="C11" s="196"/>
      <c r="D11" s="191"/>
      <c r="E11" s="197"/>
      <c r="F11" s="191"/>
      <c r="G11" s="191"/>
      <c r="H11" s="193"/>
      <c r="I11" s="144"/>
      <c r="J11" s="144"/>
    </row>
    <row r="12" spans="1:10">
      <c r="A12" s="142" t="s">
        <v>51</v>
      </c>
      <c r="B12" s="143" t="s">
        <v>50</v>
      </c>
      <c r="C12" s="196"/>
      <c r="D12" s="165"/>
      <c r="E12" s="165"/>
      <c r="F12" s="165"/>
      <c r="G12" s="165"/>
      <c r="H12" s="167"/>
      <c r="I12" s="144"/>
      <c r="J12" s="144"/>
    </row>
    <row r="13" spans="1:10">
      <c r="A13" s="142" t="s">
        <v>60</v>
      </c>
      <c r="B13" s="143" t="s">
        <v>59</v>
      </c>
      <c r="C13" s="198"/>
      <c r="D13" s="191"/>
      <c r="E13" s="191"/>
      <c r="F13" s="191"/>
      <c r="G13" s="191"/>
      <c r="H13" s="193"/>
      <c r="I13" s="144"/>
      <c r="J13" s="144"/>
    </row>
    <row r="14" spans="1:10">
      <c r="A14" s="142" t="s">
        <v>62</v>
      </c>
      <c r="B14" s="147" t="s">
        <v>40</v>
      </c>
      <c r="C14" s="198"/>
      <c r="D14" s="191"/>
      <c r="E14" s="191"/>
      <c r="F14" s="191"/>
      <c r="G14" s="191"/>
      <c r="H14" s="193"/>
      <c r="I14" s="144"/>
      <c r="J14" s="144"/>
    </row>
    <row r="15" spans="1:10" ht="15" thickBot="1">
      <c r="A15" s="148" t="s">
        <v>61</v>
      </c>
      <c r="B15" s="149" t="s">
        <v>44</v>
      </c>
      <c r="C15" s="199"/>
      <c r="D15" s="165"/>
      <c r="E15" s="165"/>
      <c r="F15" s="165"/>
      <c r="G15" s="165"/>
      <c r="H15" s="167"/>
      <c r="I15" s="150"/>
      <c r="J15" s="150"/>
    </row>
    <row r="16" spans="1:10" ht="7.95" customHeight="1" thickBot="1">
      <c r="B16" s="435"/>
      <c r="C16" s="73"/>
      <c r="D16" s="73"/>
      <c r="E16" s="73"/>
      <c r="F16" s="73"/>
      <c r="G16" s="73"/>
      <c r="H16" s="73"/>
    </row>
    <row r="17" spans="1:10">
      <c r="A17" s="151" t="s">
        <v>75</v>
      </c>
      <c r="B17" s="152"/>
      <c r="C17" s="198"/>
      <c r="D17" s="191"/>
      <c r="E17" s="191"/>
      <c r="F17" s="191"/>
      <c r="G17" s="191"/>
      <c r="H17" s="193"/>
      <c r="I17" s="144"/>
      <c r="J17" s="144"/>
    </row>
    <row r="18" spans="1:10">
      <c r="A18" s="142" t="s">
        <v>53</v>
      </c>
      <c r="B18" s="143" t="s">
        <v>47</v>
      </c>
      <c r="C18" s="190"/>
      <c r="D18" s="191"/>
      <c r="E18" s="191"/>
      <c r="F18" s="191"/>
      <c r="G18" s="191"/>
      <c r="H18" s="193"/>
      <c r="I18" s="144"/>
      <c r="J18" s="144"/>
    </row>
    <row r="19" spans="1:10">
      <c r="A19" s="153" t="s">
        <v>54</v>
      </c>
      <c r="B19" s="154" t="s">
        <v>42</v>
      </c>
      <c r="C19" s="198"/>
      <c r="D19" s="200"/>
      <c r="E19" s="200"/>
      <c r="F19" s="200"/>
      <c r="G19" s="200"/>
      <c r="H19" s="201"/>
      <c r="I19" s="155"/>
      <c r="J19" s="155"/>
    </row>
    <row r="20" spans="1:10" ht="15" thickBot="1">
      <c r="A20" s="148" t="s">
        <v>76</v>
      </c>
      <c r="B20" s="149" t="s">
        <v>39</v>
      </c>
      <c r="C20" s="190"/>
      <c r="D20" s="191"/>
      <c r="E20" s="191"/>
      <c r="F20" s="191"/>
      <c r="G20" s="191"/>
      <c r="H20" s="193"/>
      <c r="I20" s="144"/>
      <c r="J20" s="144"/>
    </row>
    <row r="21" spans="1:10" ht="8.4" customHeight="1" thickBot="1">
      <c r="A21" s="153"/>
      <c r="B21" s="156"/>
      <c r="C21" s="190"/>
      <c r="D21" s="191"/>
      <c r="E21" s="191"/>
      <c r="F21" s="191"/>
      <c r="G21" s="191"/>
      <c r="H21" s="193"/>
      <c r="I21" s="144"/>
      <c r="J21" s="144"/>
    </row>
    <row r="22" spans="1:10">
      <c r="A22" s="151" t="s">
        <v>77</v>
      </c>
      <c r="B22" s="152"/>
      <c r="C22" s="190"/>
      <c r="D22" s="191"/>
      <c r="E22" s="191"/>
      <c r="F22" s="191"/>
      <c r="G22" s="191"/>
      <c r="H22" s="193"/>
      <c r="I22" s="144"/>
      <c r="J22" s="144"/>
    </row>
    <row r="23" spans="1:10">
      <c r="A23" s="157" t="s">
        <v>48</v>
      </c>
      <c r="B23" s="147" t="s">
        <v>47</v>
      </c>
      <c r="C23" s="190"/>
      <c r="D23" s="192"/>
      <c r="E23" s="192"/>
      <c r="F23" s="192"/>
      <c r="G23" s="192"/>
      <c r="H23" s="202"/>
      <c r="I23" s="144"/>
      <c r="J23" s="144"/>
    </row>
    <row r="24" spans="1:10">
      <c r="A24" s="142" t="s">
        <v>78</v>
      </c>
      <c r="B24" s="143" t="s">
        <v>42</v>
      </c>
      <c r="C24" s="190"/>
      <c r="D24" s="191"/>
      <c r="E24" s="191"/>
      <c r="F24" s="191"/>
      <c r="G24" s="191"/>
      <c r="H24" s="193"/>
      <c r="I24" s="144"/>
      <c r="J24" s="144"/>
    </row>
    <row r="25" spans="1:10" ht="15" thickBot="1">
      <c r="A25" s="148" t="s">
        <v>49</v>
      </c>
      <c r="B25" s="149" t="s">
        <v>39</v>
      </c>
      <c r="C25" s="199"/>
      <c r="D25" s="191">
        <f>30*12</f>
        <v>360</v>
      </c>
      <c r="E25" s="191"/>
      <c r="F25" s="191"/>
      <c r="G25" s="191"/>
      <c r="H25" s="193"/>
      <c r="I25" s="144"/>
      <c r="J25" s="144"/>
    </row>
    <row r="26" spans="1:10" ht="8.4" customHeight="1" thickBot="1">
      <c r="A26" s="158"/>
      <c r="B26" s="126"/>
      <c r="C26" s="190"/>
      <c r="D26" s="191"/>
      <c r="E26" s="191"/>
      <c r="F26" s="191"/>
      <c r="G26" s="191"/>
      <c r="H26" s="193"/>
      <c r="I26" s="144"/>
      <c r="J26" s="144"/>
    </row>
    <row r="27" spans="1:10">
      <c r="A27" s="159" t="s">
        <v>79</v>
      </c>
      <c r="B27" s="152"/>
      <c r="C27" s="190"/>
      <c r="D27" s="191"/>
      <c r="E27" s="191"/>
      <c r="F27" s="191"/>
      <c r="G27" s="191"/>
      <c r="H27" s="193"/>
      <c r="I27" s="144"/>
      <c r="J27" s="144"/>
    </row>
    <row r="28" spans="1:10">
      <c r="A28" s="160" t="s">
        <v>80</v>
      </c>
      <c r="B28" s="143" t="s">
        <v>43</v>
      </c>
      <c r="C28" s="190"/>
      <c r="D28" s="203"/>
      <c r="E28" s="203"/>
      <c r="F28" s="203"/>
      <c r="G28" s="203"/>
      <c r="H28" s="204"/>
      <c r="I28" s="144"/>
      <c r="J28" s="144"/>
    </row>
    <row r="29" spans="1:10">
      <c r="A29" s="160" t="s">
        <v>81</v>
      </c>
      <c r="B29" s="143" t="s">
        <v>42</v>
      </c>
      <c r="C29" s="190"/>
      <c r="D29" s="191"/>
      <c r="E29" s="191"/>
      <c r="F29" s="191"/>
      <c r="G29" s="191"/>
      <c r="H29" s="193"/>
      <c r="I29" s="144"/>
      <c r="J29" s="144"/>
    </row>
    <row r="30" spans="1:10" ht="15" thickBot="1">
      <c r="A30" s="160" t="s">
        <v>58</v>
      </c>
      <c r="B30" s="143" t="s">
        <v>57</v>
      </c>
      <c r="C30" s="190"/>
      <c r="D30" s="191"/>
      <c r="E30" s="192"/>
      <c r="F30" s="191"/>
      <c r="G30" s="191"/>
      <c r="H30" s="193"/>
      <c r="I30" s="144"/>
      <c r="J30" s="144"/>
    </row>
    <row r="31" spans="1:10">
      <c r="A31" s="160" t="s">
        <v>41</v>
      </c>
      <c r="B31" s="143" t="s">
        <v>39</v>
      </c>
      <c r="C31" s="196"/>
      <c r="D31" s="194">
        <f>30*12</f>
        <v>360</v>
      </c>
      <c r="E31" s="891">
        <f>((41.32*64))</f>
        <v>2644.48</v>
      </c>
      <c r="F31" s="195"/>
      <c r="G31" s="191"/>
      <c r="H31" s="193"/>
      <c r="I31" s="144"/>
      <c r="J31" s="144"/>
    </row>
    <row r="32" spans="1:10" ht="15" thickBot="1">
      <c r="A32" s="161" t="s">
        <v>45</v>
      </c>
      <c r="B32" s="149" t="s">
        <v>44</v>
      </c>
      <c r="C32" s="196"/>
      <c r="D32" s="194">
        <f>30*12</f>
        <v>360</v>
      </c>
      <c r="E32" s="892"/>
      <c r="F32" s="195"/>
      <c r="G32" s="191"/>
      <c r="H32" s="193"/>
      <c r="I32" s="144"/>
      <c r="J32" s="144"/>
    </row>
    <row r="33" spans="1:10">
      <c r="A33" s="162" t="s">
        <v>104</v>
      </c>
      <c r="B33" s="187"/>
      <c r="C33" s="4">
        <v>18000</v>
      </c>
      <c r="D33" s="165">
        <f>SUM(D7:D32)-D34</f>
        <v>1080</v>
      </c>
      <c r="E33" s="166">
        <f>SUM(E7:E32)</f>
        <v>6342.6200000000008</v>
      </c>
      <c r="F33" s="146">
        <f>31535.75-C35-D35-E35</f>
        <v>6113.1299999999992</v>
      </c>
      <c r="G33" s="165">
        <v>0</v>
      </c>
      <c r="H33" s="206">
        <f>C33+D33+E33+F33+G33</f>
        <v>31535.75</v>
      </c>
      <c r="I33" s="150"/>
      <c r="J33" s="150"/>
    </row>
    <row r="34" spans="1:10" ht="10.199999999999999" customHeight="1" thickBot="1">
      <c r="A34" s="441" t="s">
        <v>333</v>
      </c>
      <c r="B34" s="442"/>
      <c r="C34" s="443">
        <v>0</v>
      </c>
      <c r="D34" s="444"/>
      <c r="E34" s="445">
        <v>0</v>
      </c>
      <c r="F34" s="446">
        <v>0</v>
      </c>
      <c r="G34" s="443">
        <v>0</v>
      </c>
      <c r="H34" s="444">
        <f>C34+D34+E34+F34+G34</f>
        <v>0</v>
      </c>
      <c r="I34" s="168"/>
      <c r="J34" s="168"/>
    </row>
    <row r="35" spans="1:10" ht="15" thickBot="1">
      <c r="A35" s="169" t="s">
        <v>103</v>
      </c>
      <c r="B35" s="170"/>
      <c r="C35" s="189">
        <f>C33+C34</f>
        <v>18000</v>
      </c>
      <c r="D35" s="171">
        <f>D33+D34</f>
        <v>1080</v>
      </c>
      <c r="E35" s="171">
        <f>E33+E34</f>
        <v>6342.6200000000008</v>
      </c>
      <c r="F35" s="189">
        <f>F33+F34</f>
        <v>6113.1299999999992</v>
      </c>
      <c r="G35" s="164">
        <f>G33+G34</f>
        <v>0</v>
      </c>
      <c r="H35" s="206">
        <f>C35+D35+E35+F35+G35</f>
        <v>31535.75</v>
      </c>
      <c r="I35" s="205">
        <f>H33+H34</f>
        <v>31535.75</v>
      </c>
      <c r="J35" s="168"/>
    </row>
    <row r="36" spans="1:10" ht="15" thickBot="1">
      <c r="A36" s="994" t="s">
        <v>82</v>
      </c>
      <c r="B36" s="995"/>
      <c r="C36" s="163"/>
      <c r="D36" s="170"/>
      <c r="E36" s="163"/>
      <c r="F36" s="163"/>
      <c r="G36" s="163"/>
      <c r="H36" s="172"/>
      <c r="I36" s="207"/>
      <c r="J36" s="168"/>
    </row>
    <row r="37" spans="1:10" ht="70.95" customHeight="1" thickBot="1">
      <c r="C37" s="215" t="str">
        <f>C6</f>
        <v>Indenn.responsabilità da definire per dip.da parte resp. servizi</v>
      </c>
      <c r="D37" s="215" t="str">
        <f t="shared" ref="D37:H37" si="0">D6</f>
        <v>Indennità di Rischio</v>
      </c>
      <c r="E37" s="215" t="str">
        <f t="shared" si="0"/>
        <v>Ind.Reperibilità presunta su 64 fest/tutti e 51 sabati anagr.</v>
      </c>
      <c r="F37" s="215" t="str">
        <f t="shared" si="0"/>
        <v>Ind.Produttività collettiva da definire  per dipendente</v>
      </c>
      <c r="G37" s="215" t="str">
        <f t="shared" si="0"/>
        <v>SOMME non ripartite</v>
      </c>
      <c r="H37" s="216" t="str">
        <f t="shared" si="0"/>
        <v>TOTALI</v>
      </c>
      <c r="I37" s="217" t="s">
        <v>112</v>
      </c>
      <c r="J37" s="431"/>
    </row>
    <row r="38" spans="1:10" ht="7.2" customHeight="1" thickBot="1">
      <c r="A38" s="218"/>
      <c r="B38" s="219"/>
      <c r="C38" s="220"/>
      <c r="D38" s="219"/>
      <c r="E38" s="220"/>
      <c r="F38" s="220"/>
      <c r="G38" s="220"/>
      <c r="H38" s="221"/>
      <c r="I38" s="222"/>
      <c r="J38" s="144"/>
    </row>
    <row r="39" spans="1:10">
      <c r="A39" s="905" t="s">
        <v>83</v>
      </c>
      <c r="B39" s="906"/>
      <c r="C39" s="447">
        <f t="shared" ref="C39:G39" si="1">+ROUND(C33*23.8%,2)</f>
        <v>4284</v>
      </c>
      <c r="D39" s="448">
        <f t="shared" si="1"/>
        <v>257.04000000000002</v>
      </c>
      <c r="E39" s="448">
        <f t="shared" si="1"/>
        <v>1509.54</v>
      </c>
      <c r="F39" s="448">
        <f>+ROUND(F33*23.8%,2)+0.01</f>
        <v>1454.93</v>
      </c>
      <c r="G39" s="224">
        <f t="shared" si="1"/>
        <v>0</v>
      </c>
      <c r="H39" s="448">
        <f>+ROUND(H33*23.8%,2)</f>
        <v>7505.51</v>
      </c>
      <c r="I39" s="225">
        <f>C39+D39+E39+F39+G39</f>
        <v>7505.51</v>
      </c>
      <c r="J39" s="174"/>
    </row>
    <row r="40" spans="1:10" ht="15" thickBot="1">
      <c r="A40" s="986" t="s">
        <v>334</v>
      </c>
      <c r="B40" s="987"/>
      <c r="C40" s="449">
        <f>+ROUND(C34*23.8%,2)</f>
        <v>0</v>
      </c>
      <c r="D40" s="450">
        <f>+ROUND(D34*23.8%,2)</f>
        <v>0</v>
      </c>
      <c r="E40" s="450">
        <f>+ROUND(E34*23.8%,2)</f>
        <v>0</v>
      </c>
      <c r="F40" s="450">
        <f>+ROUND(F34*23.8%,2)</f>
        <v>0</v>
      </c>
      <c r="G40" s="223">
        <f>+ROUND(G34*23.8%,2)</f>
        <v>0</v>
      </c>
      <c r="H40" s="450">
        <f>+ROUND(D34*23.8%,2)</f>
        <v>0</v>
      </c>
      <c r="I40" s="226">
        <f>C40+D40+E40+F40+G40</f>
        <v>0</v>
      </c>
      <c r="J40" s="173"/>
    </row>
    <row r="41" spans="1:10">
      <c r="A41" s="909" t="s">
        <v>335</v>
      </c>
      <c r="B41" s="910"/>
      <c r="C41" s="447">
        <f>+ROUND(C35*0.5%,2)</f>
        <v>90</v>
      </c>
      <c r="D41" s="447">
        <f t="shared" ref="D41:G41" si="2">+ROUND(D35*0.5%,2)</f>
        <v>5.4</v>
      </c>
      <c r="E41" s="447">
        <f t="shared" si="2"/>
        <v>31.71</v>
      </c>
      <c r="F41" s="447">
        <f t="shared" si="2"/>
        <v>30.57</v>
      </c>
      <c r="G41" s="451">
        <f t="shared" si="2"/>
        <v>0</v>
      </c>
      <c r="H41" s="448">
        <f>+ROUND(H35*0.5%,2)</f>
        <v>157.68</v>
      </c>
      <c r="I41" s="225">
        <f>C41+D41+E41+F41+G41</f>
        <v>157.68</v>
      </c>
      <c r="J41" s="173"/>
    </row>
    <row r="42" spans="1:10" ht="15" thickBot="1">
      <c r="A42" s="911" t="s">
        <v>84</v>
      </c>
      <c r="B42" s="912"/>
      <c r="C42" s="452">
        <f>SUM(C39:C41)</f>
        <v>4374</v>
      </c>
      <c r="D42" s="452">
        <f t="shared" ref="D42:H42" si="3">SUM(D39:D41)</f>
        <v>262.44</v>
      </c>
      <c r="E42" s="452">
        <f t="shared" si="3"/>
        <v>1541.25</v>
      </c>
      <c r="F42" s="452">
        <f t="shared" si="3"/>
        <v>1485.5</v>
      </c>
      <c r="G42" s="175">
        <f t="shared" si="3"/>
        <v>0</v>
      </c>
      <c r="H42" s="452">
        <f t="shared" si="3"/>
        <v>7663.1900000000005</v>
      </c>
      <c r="I42" s="175">
        <f>SUM(I39:I41)</f>
        <v>7663.1900000000005</v>
      </c>
      <c r="J42" s="174"/>
    </row>
    <row r="43" spans="1:10" ht="7.2" customHeight="1" thickBot="1">
      <c r="A43" s="437"/>
      <c r="B43" s="438"/>
      <c r="C43" s="453"/>
      <c r="D43" s="454"/>
      <c r="E43" s="453"/>
      <c r="F43" s="453"/>
      <c r="G43" s="438"/>
      <c r="H43" s="228"/>
      <c r="I43" s="228"/>
      <c r="J43" s="438"/>
    </row>
    <row r="44" spans="1:10">
      <c r="A44" s="988" t="s">
        <v>85</v>
      </c>
      <c r="B44" s="989"/>
      <c r="C44" s="448">
        <f t="shared" ref="C44:G44" si="4">+ROUND(C33*2.55%,2)</f>
        <v>459</v>
      </c>
      <c r="D44" s="448">
        <f t="shared" si="4"/>
        <v>27.54</v>
      </c>
      <c r="E44" s="448">
        <f t="shared" si="4"/>
        <v>161.74</v>
      </c>
      <c r="F44" s="448">
        <f t="shared" si="4"/>
        <v>155.88</v>
      </c>
      <c r="G44" s="224">
        <f t="shared" si="4"/>
        <v>0</v>
      </c>
      <c r="H44" s="448">
        <f>+ROUND(H33*2.55%,2)</f>
        <v>804.16</v>
      </c>
      <c r="I44" s="225">
        <f>C44+D44+E44+F44+G44</f>
        <v>804.16</v>
      </c>
      <c r="J44" s="438"/>
    </row>
    <row r="45" spans="1:10" ht="15" thickBot="1">
      <c r="A45" s="990" t="s">
        <v>336</v>
      </c>
      <c r="B45" s="991"/>
      <c r="C45" s="450">
        <f t="shared" ref="C45:F45" si="5">+ROUND(C34*8.5%,2)</f>
        <v>0</v>
      </c>
      <c r="D45" s="450">
        <f>+ROUND(D34*2.55%,2)</f>
        <v>0</v>
      </c>
      <c r="E45" s="450">
        <f t="shared" si="5"/>
        <v>0</v>
      </c>
      <c r="F45" s="450">
        <f t="shared" si="5"/>
        <v>0</v>
      </c>
      <c r="G45" s="223">
        <f>+ROUND(G34*2.55%,2)</f>
        <v>0</v>
      </c>
      <c r="H45" s="450">
        <f>+ROUND(D34*2.55%,2)</f>
        <v>0</v>
      </c>
      <c r="I45" s="226">
        <f>C45+D45+E45+F45+G45</f>
        <v>0</v>
      </c>
      <c r="J45" s="173"/>
    </row>
    <row r="46" spans="1:10" ht="15" thickBot="1">
      <c r="A46" s="917" t="s">
        <v>86</v>
      </c>
      <c r="B46" s="918"/>
      <c r="C46" s="452">
        <f>SUM(C44:C45)</f>
        <v>459</v>
      </c>
      <c r="D46" s="455">
        <f t="shared" ref="D46:I46" si="6">SUM(D44:D45)</f>
        <v>27.54</v>
      </c>
      <c r="E46" s="455">
        <f t="shared" si="6"/>
        <v>161.74</v>
      </c>
      <c r="F46" s="455">
        <f t="shared" si="6"/>
        <v>155.88</v>
      </c>
      <c r="G46" s="176">
        <f t="shared" si="6"/>
        <v>0</v>
      </c>
      <c r="H46" s="455">
        <f t="shared" si="6"/>
        <v>804.16</v>
      </c>
      <c r="I46" s="227">
        <f t="shared" si="6"/>
        <v>804.16</v>
      </c>
      <c r="J46" s="177"/>
    </row>
    <row r="47" spans="1:10" ht="6.6" customHeight="1" thickBot="1">
      <c r="A47" s="178"/>
      <c r="B47" s="178"/>
      <c r="C47" s="208"/>
      <c r="D47" s="208"/>
      <c r="E47" s="208"/>
      <c r="F47" s="208"/>
      <c r="G47" s="229"/>
      <c r="H47" s="208"/>
      <c r="I47" s="208"/>
      <c r="J47" s="177"/>
    </row>
    <row r="48" spans="1:10">
      <c r="A48" s="230" t="s">
        <v>87</v>
      </c>
      <c r="B48" s="231"/>
      <c r="C48" s="233">
        <f>C33+C39+C41+C44</f>
        <v>22833</v>
      </c>
      <c r="D48" s="233">
        <f t="shared" ref="D48:H48" si="7">D33+D39+D41+D44</f>
        <v>1369.98</v>
      </c>
      <c r="E48" s="233">
        <f t="shared" si="7"/>
        <v>8045.6100000000006</v>
      </c>
      <c r="F48" s="233">
        <f t="shared" si="7"/>
        <v>7754.5099999999993</v>
      </c>
      <c r="G48" s="232">
        <f t="shared" si="7"/>
        <v>0</v>
      </c>
      <c r="H48" s="233">
        <f t="shared" si="7"/>
        <v>40003.100000000006</v>
      </c>
      <c r="I48" s="233">
        <f>C48+D48+E48+F48+G48</f>
        <v>40003.1</v>
      </c>
      <c r="J48" s="3"/>
    </row>
    <row r="49" spans="1:10">
      <c r="A49" s="234" t="s">
        <v>109</v>
      </c>
      <c r="B49" s="235"/>
      <c r="C49" s="237">
        <f t="shared" ref="C49:H49" si="8">C34+C40+C45</f>
        <v>0</v>
      </c>
      <c r="D49" s="237">
        <f t="shared" si="8"/>
        <v>0</v>
      </c>
      <c r="E49" s="237">
        <f t="shared" si="8"/>
        <v>0</v>
      </c>
      <c r="F49" s="237">
        <f t="shared" si="8"/>
        <v>0</v>
      </c>
      <c r="G49" s="236">
        <f t="shared" si="8"/>
        <v>0</v>
      </c>
      <c r="H49" s="237">
        <f t="shared" si="8"/>
        <v>0</v>
      </c>
      <c r="I49" s="237">
        <f>C49+D49+E49+F49+G49</f>
        <v>0</v>
      </c>
      <c r="J49" s="3"/>
    </row>
    <row r="50" spans="1:10" ht="15" thickBot="1">
      <c r="A50" s="440" t="s">
        <v>108</v>
      </c>
      <c r="B50" s="238"/>
      <c r="C50" s="240">
        <f t="shared" ref="C50:H50" si="9">C35+C42+C46</f>
        <v>22833</v>
      </c>
      <c r="D50" s="240">
        <f t="shared" si="9"/>
        <v>1369.98</v>
      </c>
      <c r="E50" s="240">
        <f t="shared" si="9"/>
        <v>8045.6100000000006</v>
      </c>
      <c r="F50" s="240">
        <f t="shared" si="9"/>
        <v>7754.5099999999993</v>
      </c>
      <c r="G50" s="239">
        <f t="shared" si="9"/>
        <v>0</v>
      </c>
      <c r="H50" s="240">
        <f t="shared" si="9"/>
        <v>40003.100000000006</v>
      </c>
      <c r="I50" s="240">
        <f t="shared" ref="I50" si="10">SUM(I48:I49)</f>
        <v>40003.1</v>
      </c>
    </row>
    <row r="51" spans="1:10" ht="15" thickBot="1">
      <c r="A51" s="438"/>
      <c r="B51" s="438"/>
      <c r="C51" s="174"/>
      <c r="D51" s="174"/>
      <c r="E51" s="174"/>
      <c r="F51" s="174"/>
      <c r="G51" s="174"/>
      <c r="H51" s="241" t="s">
        <v>115</v>
      </c>
      <c r="I51" s="205">
        <f>I35+I42+I46</f>
        <v>40003.100000000006</v>
      </c>
      <c r="J51" s="3"/>
    </row>
    <row r="52" spans="1:10" ht="26.4" customHeight="1" thickBot="1">
      <c r="A52" s="919" t="s">
        <v>88</v>
      </c>
      <c r="B52" s="920"/>
      <c r="C52" s="921"/>
      <c r="D52" s="921"/>
      <c r="E52" s="921"/>
      <c r="F52" s="921"/>
      <c r="G52" s="921"/>
      <c r="H52" s="922"/>
      <c r="I52" s="209"/>
      <c r="J52" s="111"/>
    </row>
    <row r="53" spans="1:10" ht="31.95" customHeight="1">
      <c r="A53" s="923" t="s">
        <v>110</v>
      </c>
      <c r="B53" s="924"/>
      <c r="C53" s="927" t="s">
        <v>106</v>
      </c>
      <c r="D53" s="929"/>
      <c r="E53" s="929"/>
      <c r="F53" s="930"/>
      <c r="G53" s="992" t="s">
        <v>89</v>
      </c>
      <c r="H53" s="456" t="s">
        <v>90</v>
      </c>
      <c r="I53" s="979" t="s">
        <v>337</v>
      </c>
      <c r="J53" s="1"/>
    </row>
    <row r="54" spans="1:10" ht="35.4" customHeight="1">
      <c r="A54" s="925"/>
      <c r="B54" s="926"/>
      <c r="C54" s="457" t="s">
        <v>91</v>
      </c>
      <c r="D54" s="179" t="s">
        <v>92</v>
      </c>
      <c r="E54" s="179" t="s">
        <v>338</v>
      </c>
      <c r="F54" s="436" t="s">
        <v>93</v>
      </c>
      <c r="G54" s="993"/>
      <c r="H54" s="458" t="s">
        <v>94</v>
      </c>
      <c r="I54" s="980"/>
    </row>
    <row r="55" spans="1:10" ht="42.6" customHeight="1">
      <c r="A55" s="821" t="s">
        <v>95</v>
      </c>
      <c r="B55" s="822"/>
      <c r="C55" s="459">
        <v>18825.3</v>
      </c>
      <c r="D55" s="180">
        <f>+ROUND(C55*23.8%,2)</f>
        <v>4480.42</v>
      </c>
      <c r="E55" s="180">
        <f>+ROUND(C55*0.5%,2)</f>
        <v>94.13</v>
      </c>
      <c r="F55" s="460">
        <f>+ROUND(C55*2.55%,2)</f>
        <v>480.05</v>
      </c>
      <c r="G55" s="461">
        <f>+ROUND((C55*8.5%)-(C55*2.55%),2)-0.01</f>
        <v>1120.0999999999999</v>
      </c>
      <c r="H55" s="462">
        <f>C55+D55+E55+F55+G55</f>
        <v>25000</v>
      </c>
      <c r="I55" s="463" t="s">
        <v>96</v>
      </c>
    </row>
    <row r="56" spans="1:10" ht="53.4" customHeight="1">
      <c r="A56" s="821" t="s">
        <v>97</v>
      </c>
      <c r="B56" s="822"/>
      <c r="C56" s="464">
        <v>1740.45</v>
      </c>
      <c r="D56" s="180">
        <f>+ROUND(C56*23.8%,2)</f>
        <v>414.23</v>
      </c>
      <c r="E56" s="180">
        <f>+ROUND(C56*0.5%,2)</f>
        <v>8.6999999999999993</v>
      </c>
      <c r="F56" s="460">
        <f>+ROUND(C56*2.55%,2)</f>
        <v>44.38</v>
      </c>
      <c r="G56" s="461">
        <f>+ROUND((C56*8.5%)-(C56*2.55%),2)-0.01</f>
        <v>103.55</v>
      </c>
      <c r="H56" s="462">
        <f>C56+D56+E56+F56+G56</f>
        <v>2311.3100000000004</v>
      </c>
      <c r="I56" s="463" t="s">
        <v>339</v>
      </c>
    </row>
    <row r="57" spans="1:10" ht="27.6" customHeight="1" thickBot="1">
      <c r="A57" s="821" t="s">
        <v>98</v>
      </c>
      <c r="B57" s="822"/>
      <c r="C57" s="465">
        <v>3000</v>
      </c>
      <c r="D57" s="466"/>
      <c r="E57" s="467"/>
      <c r="F57" s="468"/>
      <c r="G57" s="469"/>
      <c r="H57" s="470">
        <f>C57+D57+E57+F57+G57</f>
        <v>3000</v>
      </c>
      <c r="I57" s="471" t="s">
        <v>340</v>
      </c>
    </row>
    <row r="58" spans="1:10" ht="15" customHeight="1" thickBot="1">
      <c r="A58" s="185"/>
      <c r="B58" s="475" t="s">
        <v>342</v>
      </c>
      <c r="C58" s="205">
        <f>I35+C55+C56+C57</f>
        <v>55101.5</v>
      </c>
      <c r="D58" s="3"/>
      <c r="E58" s="3"/>
      <c r="F58" s="3"/>
      <c r="G58" s="3"/>
      <c r="H58" s="3"/>
      <c r="I58" s="185"/>
      <c r="J58" s="3"/>
    </row>
    <row r="59" spans="1:10" ht="15" thickBot="1">
      <c r="A59" s="981" t="s">
        <v>88</v>
      </c>
      <c r="B59" s="982"/>
      <c r="C59" s="982"/>
      <c r="D59" s="982"/>
      <c r="E59" s="982"/>
      <c r="F59" s="982"/>
      <c r="G59" s="982"/>
      <c r="H59" s="983"/>
      <c r="I59" s="111"/>
      <c r="J59" s="111"/>
    </row>
    <row r="60" spans="1:10" ht="36" customHeight="1">
      <c r="A60" s="934" t="s">
        <v>111</v>
      </c>
      <c r="B60" s="935"/>
      <c r="C60" s="938" t="s">
        <v>107</v>
      </c>
      <c r="D60" s="940"/>
      <c r="E60" s="941"/>
      <c r="G60" s="984" t="s">
        <v>89</v>
      </c>
      <c r="H60" s="456" t="s">
        <v>90</v>
      </c>
      <c r="I60" s="979" t="s">
        <v>337</v>
      </c>
      <c r="J60" s="1"/>
    </row>
    <row r="61" spans="1:10" ht="34.200000000000003" customHeight="1">
      <c r="A61" s="936"/>
      <c r="B61" s="937"/>
      <c r="C61" s="457" t="s">
        <v>91</v>
      </c>
      <c r="D61" s="179" t="s">
        <v>92</v>
      </c>
      <c r="E61" s="179" t="s">
        <v>338</v>
      </c>
      <c r="F61" s="436" t="s">
        <v>93</v>
      </c>
      <c r="G61" s="985"/>
      <c r="H61" s="458" t="s">
        <v>94</v>
      </c>
      <c r="I61" s="980"/>
    </row>
    <row r="62" spans="1:10" ht="47.4" customHeight="1">
      <c r="A62" s="821" t="s">
        <v>95</v>
      </c>
      <c r="B62" s="822"/>
      <c r="C62" s="459">
        <v>0</v>
      </c>
      <c r="D62" s="180">
        <f>+ROUND(C62*23.8%,2)</f>
        <v>0</v>
      </c>
      <c r="E62" s="180">
        <f>+ROUND(C62*0.5%,2)</f>
        <v>0</v>
      </c>
      <c r="F62" s="460">
        <f>+ROUND(C62*2.55%,2)</f>
        <v>0</v>
      </c>
      <c r="G62" s="461">
        <f>+ROUND((C62*8.5%)-(C62*2.55%),2)</f>
        <v>0</v>
      </c>
      <c r="H62" s="462">
        <f>C62+D62+E62+F62+G62</f>
        <v>0</v>
      </c>
      <c r="I62" s="463" t="s">
        <v>341</v>
      </c>
    </row>
    <row r="63" spans="1:10" ht="57.6" customHeight="1">
      <c r="A63" s="821" t="s">
        <v>97</v>
      </c>
      <c r="B63" s="822"/>
      <c r="C63" s="464">
        <v>0</v>
      </c>
      <c r="D63" s="180">
        <f>+ROUND(C63*23.8%,2)</f>
        <v>0</v>
      </c>
      <c r="E63" s="180">
        <f>+ROUND(C63*0.5%,2)</f>
        <v>0</v>
      </c>
      <c r="F63" s="460">
        <f>+ROUND(C63*2.55%,2)</f>
        <v>0</v>
      </c>
      <c r="G63" s="461">
        <f>+ROUND((C63*8.5%)-(C63*2.55%),2)</f>
        <v>0</v>
      </c>
      <c r="H63" s="462">
        <f>C63+D63+E63+F63+G63</f>
        <v>0</v>
      </c>
      <c r="I63" s="463" t="s">
        <v>339</v>
      </c>
    </row>
    <row r="64" spans="1:10" ht="31.95" customHeight="1" thickBot="1">
      <c r="A64" s="821" t="s">
        <v>98</v>
      </c>
      <c r="B64" s="822"/>
      <c r="C64" s="465">
        <v>0</v>
      </c>
      <c r="D64" s="466"/>
      <c r="E64" s="467"/>
      <c r="F64" s="468"/>
      <c r="G64" s="469"/>
      <c r="H64" s="470">
        <f>C64+D64+E64+F64+G64</f>
        <v>0</v>
      </c>
      <c r="I64" s="471" t="s">
        <v>340</v>
      </c>
    </row>
    <row r="65" spans="1:10">
      <c r="A65" s="185"/>
      <c r="B65" s="185"/>
      <c r="C65" s="185"/>
      <c r="D65" s="3"/>
      <c r="E65" s="185"/>
      <c r="F65" s="185"/>
      <c r="G65" s="185"/>
      <c r="H65" s="185"/>
      <c r="I65" s="185"/>
      <c r="J65" s="181"/>
    </row>
    <row r="66" spans="1:10">
      <c r="A66" s="182" t="s">
        <v>99</v>
      </c>
      <c r="B66" s="182"/>
      <c r="D66" s="3"/>
      <c r="E66" s="3" t="s">
        <v>100</v>
      </c>
      <c r="F66" s="185"/>
      <c r="G66" s="3"/>
      <c r="H66" s="185"/>
      <c r="I66" s="3"/>
      <c r="J66" s="3"/>
    </row>
  </sheetData>
  <mergeCells count="29">
    <mergeCell ref="A36:B36"/>
    <mergeCell ref="A1:H1"/>
    <mergeCell ref="A4:H4"/>
    <mergeCell ref="C5:H5"/>
    <mergeCell ref="E9:E10"/>
    <mergeCell ref="E31:E32"/>
    <mergeCell ref="I53:I54"/>
    <mergeCell ref="A39:B39"/>
    <mergeCell ref="A40:B40"/>
    <mergeCell ref="A41:B41"/>
    <mergeCell ref="A42:B42"/>
    <mergeCell ref="A44:B44"/>
    <mergeCell ref="A45:B45"/>
    <mergeCell ref="A46:B46"/>
    <mergeCell ref="A52:H52"/>
    <mergeCell ref="A53:B54"/>
    <mergeCell ref="C53:F53"/>
    <mergeCell ref="G53:G54"/>
    <mergeCell ref="I60:I61"/>
    <mergeCell ref="A62:B62"/>
    <mergeCell ref="A63:B63"/>
    <mergeCell ref="A64:B64"/>
    <mergeCell ref="A55:B55"/>
    <mergeCell ref="A56:B56"/>
    <mergeCell ref="A57:B57"/>
    <mergeCell ref="A59:H59"/>
    <mergeCell ref="A60:B61"/>
    <mergeCell ref="C60:E60"/>
    <mergeCell ref="G60:G6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4"/>
  <sheetViews>
    <sheetView topLeftCell="A19" workbookViewId="0">
      <selection activeCell="B30" sqref="B30"/>
    </sheetView>
  </sheetViews>
  <sheetFormatPr defaultRowHeight="14.4"/>
  <cols>
    <col min="1" max="1" width="119.44140625" customWidth="1"/>
    <col min="2" max="2" width="12.44140625" customWidth="1"/>
    <col min="3" max="3" width="11.88671875" customWidth="1"/>
    <col min="4" max="4" width="11.5546875" customWidth="1"/>
    <col min="5" max="5" width="13" customWidth="1"/>
    <col min="6" max="6" width="13.6640625" customWidth="1"/>
  </cols>
  <sheetData>
    <row r="1" spans="1:6" ht="17.399999999999999">
      <c r="A1" s="997" t="s">
        <v>122</v>
      </c>
      <c r="B1" s="997"/>
      <c r="C1" s="997"/>
      <c r="D1" s="997"/>
      <c r="E1" s="997"/>
      <c r="F1" s="997"/>
    </row>
    <row r="2" spans="1:6">
      <c r="A2" s="260" t="s">
        <v>0</v>
      </c>
      <c r="B2" s="261">
        <v>2010</v>
      </c>
      <c r="C2" s="261">
        <v>2011</v>
      </c>
      <c r="D2" s="261">
        <v>2012</v>
      </c>
      <c r="E2" s="261">
        <v>2013</v>
      </c>
      <c r="F2" s="261">
        <v>2014</v>
      </c>
    </row>
    <row r="3" spans="1:6">
      <c r="A3" s="262" t="s">
        <v>123</v>
      </c>
      <c r="B3" s="263"/>
      <c r="C3" s="264"/>
      <c r="D3" s="264"/>
      <c r="E3" s="264"/>
      <c r="F3" s="264"/>
    </row>
    <row r="4" spans="1:6">
      <c r="A4" s="265" t="s">
        <v>124</v>
      </c>
      <c r="B4" s="266">
        <v>55764.2</v>
      </c>
      <c r="C4" s="266">
        <v>55764.2</v>
      </c>
      <c r="D4" s="266">
        <v>55764.2</v>
      </c>
      <c r="E4" s="266">
        <v>55764.2</v>
      </c>
      <c r="F4" s="266">
        <v>55764.2</v>
      </c>
    </row>
    <row r="5" spans="1:6">
      <c r="A5" s="265" t="s">
        <v>125</v>
      </c>
      <c r="B5" s="266">
        <v>6099.36</v>
      </c>
      <c r="C5" s="266">
        <v>6099.36</v>
      </c>
      <c r="D5" s="266">
        <v>6099.36</v>
      </c>
      <c r="E5" s="266">
        <v>6099.36</v>
      </c>
      <c r="F5" s="266">
        <v>6099.36</v>
      </c>
    </row>
    <row r="6" spans="1:6">
      <c r="A6" s="265" t="s">
        <v>126</v>
      </c>
      <c r="B6" s="266">
        <v>2849.12</v>
      </c>
      <c r="C6" s="266">
        <v>2849.12</v>
      </c>
      <c r="D6" s="266">
        <v>2849.12</v>
      </c>
      <c r="E6" s="266">
        <v>2849.12</v>
      </c>
      <c r="F6" s="266">
        <v>2849.12</v>
      </c>
    </row>
    <row r="7" spans="1:6">
      <c r="A7" s="265" t="s">
        <v>127</v>
      </c>
      <c r="B7" s="266">
        <v>3848.7</v>
      </c>
      <c r="C7" s="266">
        <v>3848.7</v>
      </c>
      <c r="D7" s="266">
        <v>3848.7</v>
      </c>
      <c r="E7" s="266">
        <v>3848.7</v>
      </c>
      <c r="F7" s="266">
        <v>3848.7</v>
      </c>
    </row>
    <row r="8" spans="1:6">
      <c r="A8" s="265" t="s">
        <v>128</v>
      </c>
      <c r="B8" s="266">
        <v>0</v>
      </c>
      <c r="C8" s="266">
        <v>0</v>
      </c>
      <c r="D8" s="266">
        <v>0</v>
      </c>
      <c r="E8" s="266">
        <v>0</v>
      </c>
      <c r="F8" s="266">
        <v>0</v>
      </c>
    </row>
    <row r="9" spans="1:6">
      <c r="A9" s="265" t="s">
        <v>129</v>
      </c>
      <c r="B9" s="266">
        <v>0</v>
      </c>
      <c r="C9" s="266">
        <v>0</v>
      </c>
      <c r="D9" s="266">
        <v>0</v>
      </c>
      <c r="E9" s="266">
        <v>0</v>
      </c>
      <c r="F9" s="266">
        <v>0</v>
      </c>
    </row>
    <row r="10" spans="1:6">
      <c r="A10" s="265" t="s">
        <v>130</v>
      </c>
      <c r="B10" s="266">
        <v>0</v>
      </c>
      <c r="C10" s="266">
        <v>0</v>
      </c>
      <c r="D10" s="266">
        <v>0</v>
      </c>
      <c r="E10" s="266">
        <v>0</v>
      </c>
      <c r="F10" s="266">
        <v>0</v>
      </c>
    </row>
    <row r="11" spans="1:6">
      <c r="A11" s="265" t="s">
        <v>131</v>
      </c>
      <c r="B11" s="266">
        <v>0</v>
      </c>
      <c r="C11" s="266">
        <v>0</v>
      </c>
      <c r="D11" s="266">
        <v>0</v>
      </c>
      <c r="E11" s="266">
        <v>0</v>
      </c>
      <c r="F11" s="266">
        <v>0</v>
      </c>
    </row>
    <row r="12" spans="1:6">
      <c r="A12" s="265" t="s">
        <v>132</v>
      </c>
      <c r="B12" s="266">
        <v>0</v>
      </c>
      <c r="C12" s="266">
        <v>0</v>
      </c>
      <c r="D12" s="266">
        <v>0</v>
      </c>
      <c r="E12" s="266">
        <v>0</v>
      </c>
      <c r="F12" s="266">
        <v>0</v>
      </c>
    </row>
    <row r="13" spans="1:6">
      <c r="A13" s="265" t="s">
        <v>133</v>
      </c>
      <c r="B13" s="266">
        <v>5048.9399999999996</v>
      </c>
      <c r="C13" s="266">
        <v>5048.9399999999996</v>
      </c>
      <c r="D13" s="266">
        <v>5048.9399999999996</v>
      </c>
      <c r="E13" s="266">
        <v>5048.9399999999996</v>
      </c>
      <c r="F13" s="266">
        <f>5048.94+318.96</f>
        <v>5367.9</v>
      </c>
    </row>
    <row r="14" spans="1:6">
      <c r="A14" s="267" t="s">
        <v>134</v>
      </c>
      <c r="B14" s="266">
        <v>0</v>
      </c>
      <c r="C14" s="266">
        <v>0</v>
      </c>
      <c r="D14" s="266">
        <v>0</v>
      </c>
      <c r="E14" s="266">
        <v>0</v>
      </c>
      <c r="F14" s="266">
        <v>318.95999999999998</v>
      </c>
    </row>
    <row r="15" spans="1:6">
      <c r="A15" s="268" t="s">
        <v>135</v>
      </c>
      <c r="B15" s="269">
        <f>SUM(B4:B13)-B14</f>
        <v>73610.320000000007</v>
      </c>
      <c r="C15" s="269">
        <f>SUM(C4:C13)-C14</f>
        <v>73610.320000000007</v>
      </c>
      <c r="D15" s="269">
        <f t="shared" ref="D15:F15" si="0">SUM(D4:D13)-D14</f>
        <v>73610.320000000007</v>
      </c>
      <c r="E15" s="269">
        <f t="shared" si="0"/>
        <v>73610.320000000007</v>
      </c>
      <c r="F15" s="269">
        <f t="shared" si="0"/>
        <v>73610.319999999992</v>
      </c>
    </row>
    <row r="16" spans="1:6">
      <c r="A16" s="262" t="s">
        <v>136</v>
      </c>
      <c r="B16" s="263"/>
      <c r="C16" s="263"/>
      <c r="D16" s="263"/>
      <c r="E16" s="263"/>
      <c r="F16" s="263"/>
    </row>
    <row r="17" spans="1:6" ht="16.8">
      <c r="A17" s="265" t="s">
        <v>137</v>
      </c>
      <c r="B17" s="266">
        <v>0</v>
      </c>
      <c r="C17" s="266">
        <v>0</v>
      </c>
      <c r="D17" s="266">
        <v>0</v>
      </c>
      <c r="E17" s="266">
        <v>0</v>
      </c>
      <c r="F17" s="266">
        <v>0</v>
      </c>
    </row>
    <row r="18" spans="1:6">
      <c r="A18" s="265" t="s">
        <v>138</v>
      </c>
      <c r="B18" s="266">
        <v>1740.45</v>
      </c>
      <c r="C18" s="266">
        <v>1740.45</v>
      </c>
      <c r="D18" s="266">
        <v>1740.45</v>
      </c>
      <c r="E18" s="266">
        <v>1740.45</v>
      </c>
      <c r="F18" s="266">
        <v>1740</v>
      </c>
    </row>
    <row r="19" spans="1:6" ht="16.8">
      <c r="A19" s="265" t="s">
        <v>139</v>
      </c>
      <c r="B19" s="266">
        <v>20000</v>
      </c>
      <c r="C19" s="266">
        <v>20000</v>
      </c>
      <c r="D19" s="266">
        <v>20000</v>
      </c>
      <c r="E19" s="266">
        <v>20000</v>
      </c>
      <c r="F19" s="266">
        <v>20000</v>
      </c>
    </row>
    <row r="20" spans="1:6">
      <c r="A20" s="265" t="s">
        <v>140</v>
      </c>
      <c r="B20" s="266">
        <v>0</v>
      </c>
      <c r="C20" s="266">
        <v>0</v>
      </c>
      <c r="D20" s="266">
        <v>0</v>
      </c>
      <c r="E20" s="266">
        <v>0</v>
      </c>
      <c r="F20" s="266">
        <v>0</v>
      </c>
    </row>
    <row r="21" spans="1:6">
      <c r="A21" s="265" t="s">
        <v>141</v>
      </c>
      <c r="B21" s="266">
        <v>0</v>
      </c>
      <c r="C21" s="266">
        <v>0</v>
      </c>
      <c r="D21" s="266">
        <v>0</v>
      </c>
      <c r="E21" s="266">
        <v>0</v>
      </c>
      <c r="F21" s="266">
        <v>0</v>
      </c>
    </row>
    <row r="22" spans="1:6">
      <c r="A22" s="265" t="s">
        <v>142</v>
      </c>
      <c r="B22" s="266">
        <v>6505.64</v>
      </c>
      <c r="C22" s="266">
        <v>6505.64</v>
      </c>
      <c r="D22" s="266">
        <v>6505.64</v>
      </c>
      <c r="E22" s="266">
        <v>6505.64</v>
      </c>
      <c r="F22" s="266">
        <v>6505.64</v>
      </c>
    </row>
    <row r="23" spans="1:6">
      <c r="A23" s="265" t="s">
        <v>143</v>
      </c>
      <c r="B23" s="266">
        <v>0</v>
      </c>
      <c r="C23" s="266">
        <v>0</v>
      </c>
      <c r="D23" s="266">
        <v>0</v>
      </c>
      <c r="E23" s="266">
        <v>0</v>
      </c>
      <c r="F23" s="266">
        <v>0</v>
      </c>
    </row>
    <row r="24" spans="1:6" ht="16.8">
      <c r="A24" s="265" t="s">
        <v>144</v>
      </c>
      <c r="B24" s="266">
        <v>0</v>
      </c>
      <c r="C24" s="266">
        <v>0</v>
      </c>
      <c r="D24" s="266">
        <v>0</v>
      </c>
      <c r="E24" s="266">
        <v>0</v>
      </c>
      <c r="F24" s="266">
        <v>0</v>
      </c>
    </row>
    <row r="25" spans="1:6">
      <c r="A25" s="267" t="s">
        <v>145</v>
      </c>
      <c r="B25" s="270">
        <v>0</v>
      </c>
      <c r="C25" s="270">
        <v>0</v>
      </c>
      <c r="D25" s="270">
        <v>0</v>
      </c>
      <c r="E25" s="270">
        <v>0</v>
      </c>
      <c r="F25" s="270">
        <v>0</v>
      </c>
    </row>
    <row r="26" spans="1:6">
      <c r="A26" s="271" t="s">
        <v>146</v>
      </c>
      <c r="B26" s="272">
        <f>SUM(B17:B24)-B25</f>
        <v>28246.09</v>
      </c>
      <c r="C26" s="272">
        <f t="shared" ref="C26" si="1">SUM(C17:C24)-C25</f>
        <v>28246.09</v>
      </c>
      <c r="D26" s="272">
        <f>SUM(D17:D24)-D25</f>
        <v>28246.09</v>
      </c>
      <c r="E26" s="272">
        <f>SUM(E17:E24)-E25</f>
        <v>28246.09</v>
      </c>
      <c r="F26" s="272">
        <f>SUM(F17:F24)-F25</f>
        <v>28245.64</v>
      </c>
    </row>
    <row r="27" spans="1:6">
      <c r="A27" s="262" t="s">
        <v>147</v>
      </c>
      <c r="B27" s="263"/>
      <c r="C27" s="263"/>
      <c r="D27" s="263"/>
      <c r="E27" s="263"/>
      <c r="F27" s="263"/>
    </row>
    <row r="28" spans="1:6">
      <c r="A28" s="265" t="s">
        <v>148</v>
      </c>
      <c r="B28" s="266">
        <v>0</v>
      </c>
      <c r="C28" s="266">
        <v>0</v>
      </c>
      <c r="D28" s="266">
        <v>934.73</v>
      </c>
      <c r="E28" s="266">
        <v>3072</v>
      </c>
      <c r="F28" s="266">
        <v>0</v>
      </c>
    </row>
    <row r="29" spans="1:6">
      <c r="A29" s="265" t="s">
        <v>149</v>
      </c>
      <c r="B29" s="266">
        <v>0</v>
      </c>
      <c r="C29" s="266">
        <v>0</v>
      </c>
      <c r="D29" s="266">
        <v>0</v>
      </c>
      <c r="E29" s="266">
        <v>0</v>
      </c>
      <c r="F29" s="266">
        <v>0</v>
      </c>
    </row>
    <row r="30" spans="1:6">
      <c r="A30" s="265" t="s">
        <v>150</v>
      </c>
      <c r="B30" s="266">
        <v>0</v>
      </c>
      <c r="C30" s="266">
        <v>0</v>
      </c>
      <c r="D30" s="266">
        <v>0</v>
      </c>
      <c r="E30" s="266">
        <v>8129.4</v>
      </c>
      <c r="F30" s="266">
        <v>18825.3</v>
      </c>
    </row>
    <row r="31" spans="1:6" ht="15">
      <c r="A31" s="265" t="s">
        <v>151</v>
      </c>
      <c r="B31" s="266">
        <v>0</v>
      </c>
      <c r="C31" s="266">
        <v>0</v>
      </c>
      <c r="D31" s="266">
        <v>0</v>
      </c>
      <c r="E31" s="266">
        <v>0</v>
      </c>
      <c r="F31" s="266">
        <v>0</v>
      </c>
    </row>
    <row r="32" spans="1:6" ht="16.8">
      <c r="A32" s="265" t="s">
        <v>152</v>
      </c>
      <c r="B32" s="266">
        <v>0</v>
      </c>
      <c r="C32" s="266">
        <v>0</v>
      </c>
      <c r="D32" s="266">
        <v>0</v>
      </c>
      <c r="E32" s="266">
        <v>0</v>
      </c>
      <c r="F32" s="266">
        <v>3000</v>
      </c>
    </row>
    <row r="33" spans="1:6">
      <c r="A33" s="265" t="s">
        <v>153</v>
      </c>
      <c r="B33" s="273"/>
      <c r="C33" s="273"/>
      <c r="D33" s="273"/>
      <c r="E33" s="266">
        <v>0</v>
      </c>
      <c r="F33" s="266">
        <v>0</v>
      </c>
    </row>
    <row r="34" spans="1:6">
      <c r="A34" s="274" t="s">
        <v>154</v>
      </c>
      <c r="B34" s="272">
        <f>SUM(B28:B33)</f>
        <v>0</v>
      </c>
      <c r="C34" s="272">
        <f>SUM(C28:C32)</f>
        <v>0</v>
      </c>
      <c r="D34" s="272">
        <f>SUM(D28:D32)</f>
        <v>934.73</v>
      </c>
      <c r="E34" s="272">
        <f>SUM(E28:E33)</f>
        <v>11201.4</v>
      </c>
      <c r="F34" s="272">
        <f>SUM(F28:F33)</f>
        <v>21825.3</v>
      </c>
    </row>
    <row r="35" spans="1:6">
      <c r="A35" s="275" t="s">
        <v>155</v>
      </c>
      <c r="B35" s="276">
        <f>+B34+B26</f>
        <v>28246.09</v>
      </c>
      <c r="C35" s="276">
        <f>+C34+C26</f>
        <v>28246.09</v>
      </c>
      <c r="D35" s="276">
        <f>+D34+D26</f>
        <v>29180.82</v>
      </c>
      <c r="E35" s="276">
        <f>+E34+E26</f>
        <v>39447.49</v>
      </c>
      <c r="F35" s="276">
        <f>+F34+F26</f>
        <v>50070.94</v>
      </c>
    </row>
    <row r="36" spans="1:6" ht="16.2">
      <c r="A36" s="277" t="s">
        <v>156</v>
      </c>
      <c r="B36" s="278">
        <f>+B35+B15</f>
        <v>101856.41</v>
      </c>
      <c r="C36" s="278">
        <f>+C35+C15</f>
        <v>101856.41</v>
      </c>
      <c r="D36" s="278">
        <f>+D35+D15</f>
        <v>102791.14000000001</v>
      </c>
      <c r="E36" s="278">
        <f>+E35+E15</f>
        <v>113057.81</v>
      </c>
      <c r="F36" s="278">
        <f>+F35+F15</f>
        <v>123681.26</v>
      </c>
    </row>
    <row r="37" spans="1:6" ht="15" thickBot="1">
      <c r="A37" s="279"/>
      <c r="B37" s="280"/>
      <c r="C37" s="280"/>
      <c r="D37" s="280"/>
      <c r="E37" s="280"/>
      <c r="F37" s="280"/>
    </row>
    <row r="38" spans="1:6" ht="47.25" customHeight="1" thickBot="1">
      <c r="A38" s="281" t="s">
        <v>157</v>
      </c>
      <c r="B38" s="282">
        <f>+B36-B34</f>
        <v>101856.41</v>
      </c>
      <c r="C38" s="283">
        <f>+C36-C34</f>
        <v>101856.41</v>
      </c>
      <c r="D38" s="283">
        <f>+D36-D34</f>
        <v>101856.41000000002</v>
      </c>
      <c r="E38" s="283">
        <f>+E36-E34</f>
        <v>101856.41</v>
      </c>
      <c r="F38" s="283">
        <f t="shared" ref="F38" si="2">+F36-F34</f>
        <v>101855.95999999999</v>
      </c>
    </row>
    <row r="39" spans="1:6" ht="41.4">
      <c r="A39" s="284" t="s">
        <v>158</v>
      </c>
      <c r="B39" s="285"/>
      <c r="C39" s="286" t="str">
        <f>IF(C38&gt;C45,"Attenzione, importo non adeguato!","")</f>
        <v>Attenzione, importo non adeguato!</v>
      </c>
      <c r="D39" s="286" t="str">
        <f t="shared" ref="D39:E39" si="3">IF(D38&gt;D45,"Attenzione, importo non adeguato!","")</f>
        <v>Attenzione, importo non adeguato!</v>
      </c>
      <c r="E39" s="286" t="str">
        <f t="shared" si="3"/>
        <v>Attenzione, importo non adeguato!</v>
      </c>
      <c r="F39" s="286" t="str">
        <f>IF(F38&gt;F45,"Attenzione, importo non adeguato!","")</f>
        <v>Attenzione, importo non adeguato!</v>
      </c>
    </row>
    <row r="40" spans="1:6" ht="15" thickBot="1">
      <c r="A40" s="287" t="s">
        <v>159</v>
      </c>
      <c r="B40" s="288"/>
      <c r="C40" s="288"/>
      <c r="D40" s="288"/>
      <c r="E40" s="288"/>
      <c r="F40" s="288"/>
    </row>
    <row r="41" spans="1:6">
      <c r="A41" s="289" t="s">
        <v>160</v>
      </c>
      <c r="B41" s="290">
        <v>23</v>
      </c>
      <c r="C41" s="291">
        <v>23</v>
      </c>
      <c r="D41" s="291">
        <v>23</v>
      </c>
      <c r="E41" s="291">
        <v>23</v>
      </c>
      <c r="F41" s="292">
        <v>22</v>
      </c>
    </row>
    <row r="42" spans="1:6" ht="15" thickBot="1">
      <c r="A42" s="289" t="s">
        <v>161</v>
      </c>
      <c r="B42" s="293">
        <v>23</v>
      </c>
      <c r="C42" s="294">
        <v>23</v>
      </c>
      <c r="D42" s="294">
        <v>23</v>
      </c>
      <c r="E42" s="294">
        <v>22</v>
      </c>
      <c r="F42" s="295">
        <v>22</v>
      </c>
    </row>
    <row r="43" spans="1:6" ht="15" thickTop="1">
      <c r="A43" s="296" t="s">
        <v>162</v>
      </c>
      <c r="B43" s="297">
        <f>ROUND((B41+B42)/2,2)</f>
        <v>23</v>
      </c>
      <c r="C43" s="298">
        <f>ROUND((C41+C42)/2,2)</f>
        <v>23</v>
      </c>
      <c r="D43" s="298">
        <f>ROUND((D41+D42)/2,2)</f>
        <v>23</v>
      </c>
      <c r="E43" s="298">
        <f>ROUND((E41+E42)/2,2)</f>
        <v>22.5</v>
      </c>
      <c r="F43" s="299">
        <f>ROUND((F41+F42)/2,2)</f>
        <v>22</v>
      </c>
    </row>
    <row r="44" spans="1:6" ht="15" thickBot="1">
      <c r="A44" s="296" t="s">
        <v>163</v>
      </c>
      <c r="B44" s="300"/>
      <c r="C44" s="301">
        <f>IF($C$43=0,0,ROUND(IF((C43-$C$43)/$C$43&lt;0,-(C43-$C$43)/$C$43,0),4))</f>
        <v>0</v>
      </c>
      <c r="D44" s="301">
        <f>IF($C$43=0,0,ROUND(IF((D43-$C$43)/$C$43&lt;0,-(D43-$C$43)/$C$43,0),4))</f>
        <v>0</v>
      </c>
      <c r="E44" s="301">
        <f t="shared" ref="E44:F44" si="4">IF($C$43=0,0,ROUND(IF((E43-$C$43)/$C$43&lt;0,-(E43-$C$43)/$C$43,0),4))</f>
        <v>2.1700000000000001E-2</v>
      </c>
      <c r="F44" s="301">
        <f t="shared" si="4"/>
        <v>4.3499999999999997E-2</v>
      </c>
    </row>
    <row r="45" spans="1:6" ht="15" thickBot="1">
      <c r="A45" s="302"/>
      <c r="B45" s="303" t="s">
        <v>164</v>
      </c>
      <c r="C45" s="304">
        <f>ROUND($C$38*(1-C44),0)</f>
        <v>101856</v>
      </c>
      <c r="D45" s="304">
        <f>ROUND($C$38*(1-D44),0)</f>
        <v>101856</v>
      </c>
      <c r="E45" s="304">
        <f>ROUND($C$38*(1-E44),0)</f>
        <v>99646</v>
      </c>
      <c r="F45" s="304">
        <f>ROUND($C$38*(1-F44),0)</f>
        <v>97426</v>
      </c>
    </row>
    <row r="46" spans="1:6" ht="15" thickBot="1">
      <c r="A46" s="305"/>
      <c r="B46" s="306"/>
      <c r="C46" s="280"/>
      <c r="D46" s="280"/>
      <c r="E46" s="280"/>
      <c r="F46" s="280"/>
    </row>
    <row r="47" spans="1:6" ht="15" thickBot="1">
      <c r="A47" s="998" t="s">
        <v>165</v>
      </c>
      <c r="B47" s="998"/>
      <c r="C47" s="307">
        <f>IF((C38-C45)&gt;0,C38-C45,0)</f>
        <v>0.41000000000349246</v>
      </c>
      <c r="D47" s="307">
        <f>IF((D38-D45)&gt;0,D38-D45,0)</f>
        <v>0.41000000001804437</v>
      </c>
      <c r="E47" s="307">
        <f>IF((E38-E45)&gt;0,E38-E45,0)</f>
        <v>2210.4100000000035</v>
      </c>
      <c r="F47" s="307">
        <f>IF((F38-F45)&gt;0,F38-F45,0)</f>
        <v>4429.9599999999919</v>
      </c>
    </row>
    <row r="48" spans="1:6">
      <c r="A48" s="305"/>
      <c r="B48" s="308" t="s">
        <v>166</v>
      </c>
      <c r="C48" s="309">
        <f>IF(C38-$C$38&gt;0,C38-$C$38,0)</f>
        <v>0</v>
      </c>
      <c r="D48" s="309">
        <f>IF(D38-$C$38&gt;0,D38-$C$38,0)</f>
        <v>1.4551915228366852E-11</v>
      </c>
      <c r="E48" s="309">
        <f>IF(E38-$C$38&gt;0,E38-$C$38,0)</f>
        <v>0</v>
      </c>
      <c r="F48" s="309">
        <f>IF(F38-$C$38&gt;0,F38-$C$38,0)</f>
        <v>0</v>
      </c>
    </row>
    <row r="49" spans="1:6">
      <c r="A49" s="305"/>
      <c r="B49" s="308" t="s">
        <v>167</v>
      </c>
      <c r="C49" s="310">
        <f>IF(C38-C45&gt;0,C38-C45-C48,0)</f>
        <v>0.41000000000349246</v>
      </c>
      <c r="D49" s="310">
        <f>IF(D38-D45&gt;0,D38-D45-D48,0)</f>
        <v>0.41000000000349246</v>
      </c>
      <c r="E49" s="310">
        <f>IF(E38-E45&gt;0,E38-E45-E48,0)</f>
        <v>2210.4100000000035</v>
      </c>
      <c r="F49" s="310">
        <f>IF(F38-F45&gt;0,F38-F45-F48,0)</f>
        <v>4429.9599999999919</v>
      </c>
    </row>
    <row r="50" spans="1:6">
      <c r="A50" s="311"/>
      <c r="B50" s="312"/>
      <c r="C50" s="312"/>
      <c r="D50" s="312"/>
      <c r="E50" s="312"/>
      <c r="F50" s="312"/>
    </row>
    <row r="51" spans="1:6">
      <c r="A51" s="313" t="s">
        <v>168</v>
      </c>
      <c r="B51" s="312"/>
      <c r="C51" s="312"/>
      <c r="D51" s="312"/>
      <c r="E51" s="312"/>
      <c r="F51" s="312"/>
    </row>
    <row r="52" spans="1:6">
      <c r="A52" s="313" t="s">
        <v>169</v>
      </c>
      <c r="B52" s="312"/>
      <c r="C52" s="312"/>
      <c r="D52" s="312"/>
      <c r="E52" s="312"/>
      <c r="F52" s="312"/>
    </row>
    <row r="53" spans="1:6">
      <c r="A53" s="314" t="s">
        <v>170</v>
      </c>
      <c r="B53" s="315"/>
      <c r="C53" s="315"/>
      <c r="D53" s="315"/>
      <c r="E53" s="315"/>
      <c r="F53" s="315"/>
    </row>
    <row r="54" spans="1:6">
      <c r="A54" s="314" t="s">
        <v>171</v>
      </c>
      <c r="B54" s="315"/>
      <c r="C54" s="315"/>
      <c r="D54" s="315"/>
      <c r="E54" s="315"/>
      <c r="F54" s="315"/>
    </row>
    <row r="55" spans="1:6">
      <c r="A55" s="314" t="s">
        <v>172</v>
      </c>
      <c r="B55" s="315"/>
      <c r="C55" s="315"/>
      <c r="D55" s="315"/>
      <c r="E55" s="315"/>
      <c r="F55" s="315"/>
    </row>
    <row r="56" spans="1:6">
      <c r="A56" s="314" t="s">
        <v>173</v>
      </c>
      <c r="B56" s="316"/>
      <c r="C56" s="316"/>
      <c r="D56" s="316"/>
      <c r="E56" s="316"/>
      <c r="F56" s="316"/>
    </row>
    <row r="57" spans="1:6">
      <c r="A57" s="317" t="s">
        <v>174</v>
      </c>
      <c r="B57" s="316"/>
      <c r="C57" s="316"/>
      <c r="D57" s="316"/>
      <c r="E57" s="316"/>
      <c r="F57" s="316"/>
    </row>
    <row r="58" spans="1:6">
      <c r="A58" s="318"/>
      <c r="B58" s="319"/>
      <c r="C58" s="319"/>
      <c r="D58" s="319"/>
      <c r="E58" s="319"/>
      <c r="F58" s="319"/>
    </row>
    <row r="59" spans="1:6">
      <c r="A59" s="318"/>
      <c r="B59" s="319"/>
      <c r="C59" s="319"/>
      <c r="D59" s="319"/>
      <c r="E59" s="319"/>
      <c r="F59" s="319"/>
    </row>
    <row r="60" spans="1:6">
      <c r="A60" s="318"/>
      <c r="B60" s="319"/>
      <c r="C60" s="319"/>
      <c r="D60" s="319"/>
      <c r="E60" s="319"/>
      <c r="F60" s="319"/>
    </row>
    <row r="61" spans="1:6">
      <c r="A61" s="318"/>
      <c r="B61" s="319"/>
      <c r="C61" s="319"/>
      <c r="D61" s="319"/>
      <c r="E61" s="319"/>
      <c r="F61" s="319"/>
    </row>
    <row r="62" spans="1:6">
      <c r="A62" s="318"/>
      <c r="B62" s="319"/>
      <c r="C62" s="319"/>
      <c r="D62" s="319"/>
      <c r="E62" s="319"/>
      <c r="F62" s="319"/>
    </row>
    <row r="63" spans="1:6">
      <c r="A63" s="318"/>
      <c r="B63" s="319"/>
      <c r="C63" s="319"/>
      <c r="D63" s="319"/>
      <c r="E63" s="319"/>
      <c r="F63" s="319"/>
    </row>
    <row r="64" spans="1:6">
      <c r="A64" s="318"/>
      <c r="B64" s="319"/>
      <c r="C64" s="319"/>
      <c r="D64" s="319"/>
      <c r="E64" s="319"/>
      <c r="F64" s="319"/>
    </row>
  </sheetData>
  <mergeCells count="2">
    <mergeCell ref="A1:F1"/>
    <mergeCell ref="A47:B4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12"/>
  <dimension ref="A2:K40"/>
  <sheetViews>
    <sheetView topLeftCell="A25" workbookViewId="0">
      <selection activeCell="C38" sqref="C38"/>
    </sheetView>
  </sheetViews>
  <sheetFormatPr defaultRowHeight="14.4"/>
  <cols>
    <col min="1" max="1" width="18.109375" style="359" customWidth="1"/>
    <col min="2" max="2" width="14.109375" style="359" customWidth="1"/>
    <col min="3" max="3" width="16.5546875" style="359" customWidth="1"/>
    <col min="4" max="4" width="9.33203125" style="358" bestFit="1" customWidth="1"/>
    <col min="5" max="5" width="9.44140625" style="422" bestFit="1" customWidth="1"/>
    <col min="6" max="8" width="9.109375" style="360" customWidth="1"/>
    <col min="9" max="9" width="9.33203125" style="359" bestFit="1" customWidth="1"/>
    <col min="10" max="10" width="8.88671875" style="359"/>
    <col min="11" max="11" width="9.33203125" style="359" bestFit="1" customWidth="1"/>
    <col min="12" max="256" width="8.88671875" style="359"/>
    <col min="257" max="257" width="18.109375" style="359" customWidth="1"/>
    <col min="258" max="258" width="14.109375" style="359" customWidth="1"/>
    <col min="259" max="259" width="16.5546875" style="359" customWidth="1"/>
    <col min="260" max="260" width="9.33203125" style="359" bestFit="1" customWidth="1"/>
    <col min="261" max="261" width="8.88671875" style="359"/>
    <col min="262" max="264" width="9.109375" style="359" customWidth="1"/>
    <col min="265" max="265" width="9.33203125" style="359" bestFit="1" customWidth="1"/>
    <col min="266" max="266" width="8.88671875" style="359"/>
    <col min="267" max="267" width="9.33203125" style="359" bestFit="1" customWidth="1"/>
    <col min="268" max="512" width="8.88671875" style="359"/>
    <col min="513" max="513" width="18.109375" style="359" customWidth="1"/>
    <col min="514" max="514" width="14.109375" style="359" customWidth="1"/>
    <col min="515" max="515" width="16.5546875" style="359" customWidth="1"/>
    <col min="516" max="516" width="9.33203125" style="359" bestFit="1" customWidth="1"/>
    <col min="517" max="517" width="8.88671875" style="359"/>
    <col min="518" max="520" width="9.109375" style="359" customWidth="1"/>
    <col min="521" max="521" width="9.33203125" style="359" bestFit="1" customWidth="1"/>
    <col min="522" max="522" width="8.88671875" style="359"/>
    <col min="523" max="523" width="9.33203125" style="359" bestFit="1" customWidth="1"/>
    <col min="524" max="768" width="8.88671875" style="359"/>
    <col min="769" max="769" width="18.109375" style="359" customWidth="1"/>
    <col min="770" max="770" width="14.109375" style="359" customWidth="1"/>
    <col min="771" max="771" width="16.5546875" style="359" customWidth="1"/>
    <col min="772" max="772" width="9.33203125" style="359" bestFit="1" customWidth="1"/>
    <col min="773" max="773" width="8.88671875" style="359"/>
    <col min="774" max="776" width="9.109375" style="359" customWidth="1"/>
    <col min="777" max="777" width="9.33203125" style="359" bestFit="1" customWidth="1"/>
    <col min="778" max="778" width="8.88671875" style="359"/>
    <col min="779" max="779" width="9.33203125" style="359" bestFit="1" customWidth="1"/>
    <col min="780" max="1024" width="8.88671875" style="359"/>
    <col min="1025" max="1025" width="18.109375" style="359" customWidth="1"/>
    <col min="1026" max="1026" width="14.109375" style="359" customWidth="1"/>
    <col min="1027" max="1027" width="16.5546875" style="359" customWidth="1"/>
    <col min="1028" max="1028" width="9.33203125" style="359" bestFit="1" customWidth="1"/>
    <col min="1029" max="1029" width="8.88671875" style="359"/>
    <col min="1030" max="1032" width="9.109375" style="359" customWidth="1"/>
    <col min="1033" max="1033" width="9.33203125" style="359" bestFit="1" customWidth="1"/>
    <col min="1034" max="1034" width="8.88671875" style="359"/>
    <col min="1035" max="1035" width="9.33203125" style="359" bestFit="1" customWidth="1"/>
    <col min="1036" max="1280" width="8.88671875" style="359"/>
    <col min="1281" max="1281" width="18.109375" style="359" customWidth="1"/>
    <col min="1282" max="1282" width="14.109375" style="359" customWidth="1"/>
    <col min="1283" max="1283" width="16.5546875" style="359" customWidth="1"/>
    <col min="1284" max="1284" width="9.33203125" style="359" bestFit="1" customWidth="1"/>
    <col min="1285" max="1285" width="8.88671875" style="359"/>
    <col min="1286" max="1288" width="9.109375" style="359" customWidth="1"/>
    <col min="1289" max="1289" width="9.33203125" style="359" bestFit="1" customWidth="1"/>
    <col min="1290" max="1290" width="8.88671875" style="359"/>
    <col min="1291" max="1291" width="9.33203125" style="359" bestFit="1" customWidth="1"/>
    <col min="1292" max="1536" width="8.88671875" style="359"/>
    <col min="1537" max="1537" width="18.109375" style="359" customWidth="1"/>
    <col min="1538" max="1538" width="14.109375" style="359" customWidth="1"/>
    <col min="1539" max="1539" width="16.5546875" style="359" customWidth="1"/>
    <col min="1540" max="1540" width="9.33203125" style="359" bestFit="1" customWidth="1"/>
    <col min="1541" max="1541" width="8.88671875" style="359"/>
    <col min="1542" max="1544" width="9.109375" style="359" customWidth="1"/>
    <col min="1545" max="1545" width="9.33203125" style="359" bestFit="1" customWidth="1"/>
    <col min="1546" max="1546" width="8.88671875" style="359"/>
    <col min="1547" max="1547" width="9.33203125" style="359" bestFit="1" customWidth="1"/>
    <col min="1548" max="1792" width="8.88671875" style="359"/>
    <col min="1793" max="1793" width="18.109375" style="359" customWidth="1"/>
    <col min="1794" max="1794" width="14.109375" style="359" customWidth="1"/>
    <col min="1795" max="1795" width="16.5546875" style="359" customWidth="1"/>
    <col min="1796" max="1796" width="9.33203125" style="359" bestFit="1" customWidth="1"/>
    <col min="1797" max="1797" width="8.88671875" style="359"/>
    <col min="1798" max="1800" width="9.109375" style="359" customWidth="1"/>
    <col min="1801" max="1801" width="9.33203125" style="359" bestFit="1" customWidth="1"/>
    <col min="1802" max="1802" width="8.88671875" style="359"/>
    <col min="1803" max="1803" width="9.33203125" style="359" bestFit="1" customWidth="1"/>
    <col min="1804" max="2048" width="8.88671875" style="359"/>
    <col min="2049" max="2049" width="18.109375" style="359" customWidth="1"/>
    <col min="2050" max="2050" width="14.109375" style="359" customWidth="1"/>
    <col min="2051" max="2051" width="16.5546875" style="359" customWidth="1"/>
    <col min="2052" max="2052" width="9.33203125" style="359" bestFit="1" customWidth="1"/>
    <col min="2053" max="2053" width="8.88671875" style="359"/>
    <col min="2054" max="2056" width="9.109375" style="359" customWidth="1"/>
    <col min="2057" max="2057" width="9.33203125" style="359" bestFit="1" customWidth="1"/>
    <col min="2058" max="2058" width="8.88671875" style="359"/>
    <col min="2059" max="2059" width="9.33203125" style="359" bestFit="1" customWidth="1"/>
    <col min="2060" max="2304" width="8.88671875" style="359"/>
    <col min="2305" max="2305" width="18.109375" style="359" customWidth="1"/>
    <col min="2306" max="2306" width="14.109375" style="359" customWidth="1"/>
    <col min="2307" max="2307" width="16.5546875" style="359" customWidth="1"/>
    <col min="2308" max="2308" width="9.33203125" style="359" bestFit="1" customWidth="1"/>
    <col min="2309" max="2309" width="8.88671875" style="359"/>
    <col min="2310" max="2312" width="9.109375" style="359" customWidth="1"/>
    <col min="2313" max="2313" width="9.33203125" style="359" bestFit="1" customWidth="1"/>
    <col min="2314" max="2314" width="8.88671875" style="359"/>
    <col min="2315" max="2315" width="9.33203125" style="359" bestFit="1" customWidth="1"/>
    <col min="2316" max="2560" width="8.88671875" style="359"/>
    <col min="2561" max="2561" width="18.109375" style="359" customWidth="1"/>
    <col min="2562" max="2562" width="14.109375" style="359" customWidth="1"/>
    <col min="2563" max="2563" width="16.5546875" style="359" customWidth="1"/>
    <col min="2564" max="2564" width="9.33203125" style="359" bestFit="1" customWidth="1"/>
    <col min="2565" max="2565" width="8.88671875" style="359"/>
    <col min="2566" max="2568" width="9.109375" style="359" customWidth="1"/>
    <col min="2569" max="2569" width="9.33203125" style="359" bestFit="1" customWidth="1"/>
    <col min="2570" max="2570" width="8.88671875" style="359"/>
    <col min="2571" max="2571" width="9.33203125" style="359" bestFit="1" customWidth="1"/>
    <col min="2572" max="2816" width="8.88671875" style="359"/>
    <col min="2817" max="2817" width="18.109375" style="359" customWidth="1"/>
    <col min="2818" max="2818" width="14.109375" style="359" customWidth="1"/>
    <col min="2819" max="2819" width="16.5546875" style="359" customWidth="1"/>
    <col min="2820" max="2820" width="9.33203125" style="359" bestFit="1" customWidth="1"/>
    <col min="2821" max="2821" width="8.88671875" style="359"/>
    <col min="2822" max="2824" width="9.109375" style="359" customWidth="1"/>
    <col min="2825" max="2825" width="9.33203125" style="359" bestFit="1" customWidth="1"/>
    <col min="2826" max="2826" width="8.88671875" style="359"/>
    <col min="2827" max="2827" width="9.33203125" style="359" bestFit="1" customWidth="1"/>
    <col min="2828" max="3072" width="8.88671875" style="359"/>
    <col min="3073" max="3073" width="18.109375" style="359" customWidth="1"/>
    <col min="3074" max="3074" width="14.109375" style="359" customWidth="1"/>
    <col min="3075" max="3075" width="16.5546875" style="359" customWidth="1"/>
    <col min="3076" max="3076" width="9.33203125" style="359" bestFit="1" customWidth="1"/>
    <col min="3077" max="3077" width="8.88671875" style="359"/>
    <col min="3078" max="3080" width="9.109375" style="359" customWidth="1"/>
    <col min="3081" max="3081" width="9.33203125" style="359" bestFit="1" customWidth="1"/>
    <col min="3082" max="3082" width="8.88671875" style="359"/>
    <col min="3083" max="3083" width="9.33203125" style="359" bestFit="1" customWidth="1"/>
    <col min="3084" max="3328" width="8.88671875" style="359"/>
    <col min="3329" max="3329" width="18.109375" style="359" customWidth="1"/>
    <col min="3330" max="3330" width="14.109375" style="359" customWidth="1"/>
    <col min="3331" max="3331" width="16.5546875" style="359" customWidth="1"/>
    <col min="3332" max="3332" width="9.33203125" style="359" bestFit="1" customWidth="1"/>
    <col min="3333" max="3333" width="8.88671875" style="359"/>
    <col min="3334" max="3336" width="9.109375" style="359" customWidth="1"/>
    <col min="3337" max="3337" width="9.33203125" style="359" bestFit="1" customWidth="1"/>
    <col min="3338" max="3338" width="8.88671875" style="359"/>
    <col min="3339" max="3339" width="9.33203125" style="359" bestFit="1" customWidth="1"/>
    <col min="3340" max="3584" width="8.88671875" style="359"/>
    <col min="3585" max="3585" width="18.109375" style="359" customWidth="1"/>
    <col min="3586" max="3586" width="14.109375" style="359" customWidth="1"/>
    <col min="3587" max="3587" width="16.5546875" style="359" customWidth="1"/>
    <col min="3588" max="3588" width="9.33203125" style="359" bestFit="1" customWidth="1"/>
    <col min="3589" max="3589" width="8.88671875" style="359"/>
    <col min="3590" max="3592" width="9.109375" style="359" customWidth="1"/>
    <col min="3593" max="3593" width="9.33203125" style="359" bestFit="1" customWidth="1"/>
    <col min="3594" max="3594" width="8.88671875" style="359"/>
    <col min="3595" max="3595" width="9.33203125" style="359" bestFit="1" customWidth="1"/>
    <col min="3596" max="3840" width="8.88671875" style="359"/>
    <col min="3841" max="3841" width="18.109375" style="359" customWidth="1"/>
    <col min="3842" max="3842" width="14.109375" style="359" customWidth="1"/>
    <col min="3843" max="3843" width="16.5546875" style="359" customWidth="1"/>
    <col min="3844" max="3844" width="9.33203125" style="359" bestFit="1" customWidth="1"/>
    <col min="3845" max="3845" width="8.88671875" style="359"/>
    <col min="3846" max="3848" width="9.109375" style="359" customWidth="1"/>
    <col min="3849" max="3849" width="9.33203125" style="359" bestFit="1" customWidth="1"/>
    <col min="3850" max="3850" width="8.88671875" style="359"/>
    <col min="3851" max="3851" width="9.33203125" style="359" bestFit="1" customWidth="1"/>
    <col min="3852" max="4096" width="8.88671875" style="359"/>
    <col min="4097" max="4097" width="18.109375" style="359" customWidth="1"/>
    <col min="4098" max="4098" width="14.109375" style="359" customWidth="1"/>
    <col min="4099" max="4099" width="16.5546875" style="359" customWidth="1"/>
    <col min="4100" max="4100" width="9.33203125" style="359" bestFit="1" customWidth="1"/>
    <col min="4101" max="4101" width="8.88671875" style="359"/>
    <col min="4102" max="4104" width="9.109375" style="359" customWidth="1"/>
    <col min="4105" max="4105" width="9.33203125" style="359" bestFit="1" customWidth="1"/>
    <col min="4106" max="4106" width="8.88671875" style="359"/>
    <col min="4107" max="4107" width="9.33203125" style="359" bestFit="1" customWidth="1"/>
    <col min="4108" max="4352" width="8.88671875" style="359"/>
    <col min="4353" max="4353" width="18.109375" style="359" customWidth="1"/>
    <col min="4354" max="4354" width="14.109375" style="359" customWidth="1"/>
    <col min="4355" max="4355" width="16.5546875" style="359" customWidth="1"/>
    <col min="4356" max="4356" width="9.33203125" style="359" bestFit="1" customWidth="1"/>
    <col min="4357" max="4357" width="8.88671875" style="359"/>
    <col min="4358" max="4360" width="9.109375" style="359" customWidth="1"/>
    <col min="4361" max="4361" width="9.33203125" style="359" bestFit="1" customWidth="1"/>
    <col min="4362" max="4362" width="8.88671875" style="359"/>
    <col min="4363" max="4363" width="9.33203125" style="359" bestFit="1" customWidth="1"/>
    <col min="4364" max="4608" width="8.88671875" style="359"/>
    <col min="4609" max="4609" width="18.109375" style="359" customWidth="1"/>
    <col min="4610" max="4610" width="14.109375" style="359" customWidth="1"/>
    <col min="4611" max="4611" width="16.5546875" style="359" customWidth="1"/>
    <col min="4612" max="4612" width="9.33203125" style="359" bestFit="1" customWidth="1"/>
    <col min="4613" max="4613" width="8.88671875" style="359"/>
    <col min="4614" max="4616" width="9.109375" style="359" customWidth="1"/>
    <col min="4617" max="4617" width="9.33203125" style="359" bestFit="1" customWidth="1"/>
    <col min="4618" max="4618" width="8.88671875" style="359"/>
    <col min="4619" max="4619" width="9.33203125" style="359" bestFit="1" customWidth="1"/>
    <col min="4620" max="4864" width="8.88671875" style="359"/>
    <col min="4865" max="4865" width="18.109375" style="359" customWidth="1"/>
    <col min="4866" max="4866" width="14.109375" style="359" customWidth="1"/>
    <col min="4867" max="4867" width="16.5546875" style="359" customWidth="1"/>
    <col min="4868" max="4868" width="9.33203125" style="359" bestFit="1" customWidth="1"/>
    <col min="4869" max="4869" width="8.88671875" style="359"/>
    <col min="4870" max="4872" width="9.109375" style="359" customWidth="1"/>
    <col min="4873" max="4873" width="9.33203125" style="359" bestFit="1" customWidth="1"/>
    <col min="4874" max="4874" width="8.88671875" style="359"/>
    <col min="4875" max="4875" width="9.33203125" style="359" bestFit="1" customWidth="1"/>
    <col min="4876" max="5120" width="8.88671875" style="359"/>
    <col min="5121" max="5121" width="18.109375" style="359" customWidth="1"/>
    <col min="5122" max="5122" width="14.109375" style="359" customWidth="1"/>
    <col min="5123" max="5123" width="16.5546875" style="359" customWidth="1"/>
    <col min="5124" max="5124" width="9.33203125" style="359" bestFit="1" customWidth="1"/>
    <col min="5125" max="5125" width="8.88671875" style="359"/>
    <col min="5126" max="5128" width="9.109375" style="359" customWidth="1"/>
    <col min="5129" max="5129" width="9.33203125" style="359" bestFit="1" customWidth="1"/>
    <col min="5130" max="5130" width="8.88671875" style="359"/>
    <col min="5131" max="5131" width="9.33203125" style="359" bestFit="1" customWidth="1"/>
    <col min="5132" max="5376" width="8.88671875" style="359"/>
    <col min="5377" max="5377" width="18.109375" style="359" customWidth="1"/>
    <col min="5378" max="5378" width="14.109375" style="359" customWidth="1"/>
    <col min="5379" max="5379" width="16.5546875" style="359" customWidth="1"/>
    <col min="5380" max="5380" width="9.33203125" style="359" bestFit="1" customWidth="1"/>
    <col min="5381" max="5381" width="8.88671875" style="359"/>
    <col min="5382" max="5384" width="9.109375" style="359" customWidth="1"/>
    <col min="5385" max="5385" width="9.33203125" style="359" bestFit="1" customWidth="1"/>
    <col min="5386" max="5386" width="8.88671875" style="359"/>
    <col min="5387" max="5387" width="9.33203125" style="359" bestFit="1" customWidth="1"/>
    <col min="5388" max="5632" width="8.88671875" style="359"/>
    <col min="5633" max="5633" width="18.109375" style="359" customWidth="1"/>
    <col min="5634" max="5634" width="14.109375" style="359" customWidth="1"/>
    <col min="5635" max="5635" width="16.5546875" style="359" customWidth="1"/>
    <col min="5636" max="5636" width="9.33203125" style="359" bestFit="1" customWidth="1"/>
    <col min="5637" max="5637" width="8.88671875" style="359"/>
    <col min="5638" max="5640" width="9.109375" style="359" customWidth="1"/>
    <col min="5641" max="5641" width="9.33203125" style="359" bestFit="1" customWidth="1"/>
    <col min="5642" max="5642" width="8.88671875" style="359"/>
    <col min="5643" max="5643" width="9.33203125" style="359" bestFit="1" customWidth="1"/>
    <col min="5644" max="5888" width="8.88671875" style="359"/>
    <col min="5889" max="5889" width="18.109375" style="359" customWidth="1"/>
    <col min="5890" max="5890" width="14.109375" style="359" customWidth="1"/>
    <col min="5891" max="5891" width="16.5546875" style="359" customWidth="1"/>
    <col min="5892" max="5892" width="9.33203125" style="359" bestFit="1" customWidth="1"/>
    <col min="5893" max="5893" width="8.88671875" style="359"/>
    <col min="5894" max="5896" width="9.109375" style="359" customWidth="1"/>
    <col min="5897" max="5897" width="9.33203125" style="359" bestFit="1" customWidth="1"/>
    <col min="5898" max="5898" width="8.88671875" style="359"/>
    <col min="5899" max="5899" width="9.33203125" style="359" bestFit="1" customWidth="1"/>
    <col min="5900" max="6144" width="8.88671875" style="359"/>
    <col min="6145" max="6145" width="18.109375" style="359" customWidth="1"/>
    <col min="6146" max="6146" width="14.109375" style="359" customWidth="1"/>
    <col min="6147" max="6147" width="16.5546875" style="359" customWidth="1"/>
    <col min="6148" max="6148" width="9.33203125" style="359" bestFit="1" customWidth="1"/>
    <col min="6149" max="6149" width="8.88671875" style="359"/>
    <col min="6150" max="6152" width="9.109375" style="359" customWidth="1"/>
    <col min="6153" max="6153" width="9.33203125" style="359" bestFit="1" customWidth="1"/>
    <col min="6154" max="6154" width="8.88671875" style="359"/>
    <col min="6155" max="6155" width="9.33203125" style="359" bestFit="1" customWidth="1"/>
    <col min="6156" max="6400" width="8.88671875" style="359"/>
    <col min="6401" max="6401" width="18.109375" style="359" customWidth="1"/>
    <col min="6402" max="6402" width="14.109375" style="359" customWidth="1"/>
    <col min="6403" max="6403" width="16.5546875" style="359" customWidth="1"/>
    <col min="6404" max="6404" width="9.33203125" style="359" bestFit="1" customWidth="1"/>
    <col min="6405" max="6405" width="8.88671875" style="359"/>
    <col min="6406" max="6408" width="9.109375" style="359" customWidth="1"/>
    <col min="6409" max="6409" width="9.33203125" style="359" bestFit="1" customWidth="1"/>
    <col min="6410" max="6410" width="8.88671875" style="359"/>
    <col min="6411" max="6411" width="9.33203125" style="359" bestFit="1" customWidth="1"/>
    <col min="6412" max="6656" width="8.88671875" style="359"/>
    <col min="6657" max="6657" width="18.109375" style="359" customWidth="1"/>
    <col min="6658" max="6658" width="14.109375" style="359" customWidth="1"/>
    <col min="6659" max="6659" width="16.5546875" style="359" customWidth="1"/>
    <col min="6660" max="6660" width="9.33203125" style="359" bestFit="1" customWidth="1"/>
    <col min="6661" max="6661" width="8.88671875" style="359"/>
    <col min="6662" max="6664" width="9.109375" style="359" customWidth="1"/>
    <col min="6665" max="6665" width="9.33203125" style="359" bestFit="1" customWidth="1"/>
    <col min="6666" max="6666" width="8.88671875" style="359"/>
    <col min="6667" max="6667" width="9.33203125" style="359" bestFit="1" customWidth="1"/>
    <col min="6668" max="6912" width="8.88671875" style="359"/>
    <col min="6913" max="6913" width="18.109375" style="359" customWidth="1"/>
    <col min="6914" max="6914" width="14.109375" style="359" customWidth="1"/>
    <col min="6915" max="6915" width="16.5546875" style="359" customWidth="1"/>
    <col min="6916" max="6916" width="9.33203125" style="359" bestFit="1" customWidth="1"/>
    <col min="6917" max="6917" width="8.88671875" style="359"/>
    <col min="6918" max="6920" width="9.109375" style="359" customWidth="1"/>
    <col min="6921" max="6921" width="9.33203125" style="359" bestFit="1" customWidth="1"/>
    <col min="6922" max="6922" width="8.88671875" style="359"/>
    <col min="6923" max="6923" width="9.33203125" style="359" bestFit="1" customWidth="1"/>
    <col min="6924" max="7168" width="8.88671875" style="359"/>
    <col min="7169" max="7169" width="18.109375" style="359" customWidth="1"/>
    <col min="7170" max="7170" width="14.109375" style="359" customWidth="1"/>
    <col min="7171" max="7171" width="16.5546875" style="359" customWidth="1"/>
    <col min="7172" max="7172" width="9.33203125" style="359" bestFit="1" customWidth="1"/>
    <col min="7173" max="7173" width="8.88671875" style="359"/>
    <col min="7174" max="7176" width="9.109375" style="359" customWidth="1"/>
    <col min="7177" max="7177" width="9.33203125" style="359" bestFit="1" customWidth="1"/>
    <col min="7178" max="7178" width="8.88671875" style="359"/>
    <col min="7179" max="7179" width="9.33203125" style="359" bestFit="1" customWidth="1"/>
    <col min="7180" max="7424" width="8.88671875" style="359"/>
    <col min="7425" max="7425" width="18.109375" style="359" customWidth="1"/>
    <col min="7426" max="7426" width="14.109375" style="359" customWidth="1"/>
    <col min="7427" max="7427" width="16.5546875" style="359" customWidth="1"/>
    <col min="7428" max="7428" width="9.33203125" style="359" bestFit="1" customWidth="1"/>
    <col min="7429" max="7429" width="8.88671875" style="359"/>
    <col min="7430" max="7432" width="9.109375" style="359" customWidth="1"/>
    <col min="7433" max="7433" width="9.33203125" style="359" bestFit="1" customWidth="1"/>
    <col min="7434" max="7434" width="8.88671875" style="359"/>
    <col min="7435" max="7435" width="9.33203125" style="359" bestFit="1" customWidth="1"/>
    <col min="7436" max="7680" width="8.88671875" style="359"/>
    <col min="7681" max="7681" width="18.109375" style="359" customWidth="1"/>
    <col min="7682" max="7682" width="14.109375" style="359" customWidth="1"/>
    <col min="7683" max="7683" width="16.5546875" style="359" customWidth="1"/>
    <col min="7684" max="7684" width="9.33203125" style="359" bestFit="1" customWidth="1"/>
    <col min="7685" max="7685" width="8.88671875" style="359"/>
    <col min="7686" max="7688" width="9.109375" style="359" customWidth="1"/>
    <col min="7689" max="7689" width="9.33203125" style="359" bestFit="1" customWidth="1"/>
    <col min="7690" max="7690" width="8.88671875" style="359"/>
    <col min="7691" max="7691" width="9.33203125" style="359" bestFit="1" customWidth="1"/>
    <col min="7692" max="7936" width="8.88671875" style="359"/>
    <col min="7937" max="7937" width="18.109375" style="359" customWidth="1"/>
    <col min="7938" max="7938" width="14.109375" style="359" customWidth="1"/>
    <col min="7939" max="7939" width="16.5546875" style="359" customWidth="1"/>
    <col min="7940" max="7940" width="9.33203125" style="359" bestFit="1" customWidth="1"/>
    <col min="7941" max="7941" width="8.88671875" style="359"/>
    <col min="7942" max="7944" width="9.109375" style="359" customWidth="1"/>
    <col min="7945" max="7945" width="9.33203125" style="359" bestFit="1" customWidth="1"/>
    <col min="7946" max="7946" width="8.88671875" style="359"/>
    <col min="7947" max="7947" width="9.33203125" style="359" bestFit="1" customWidth="1"/>
    <col min="7948" max="8192" width="8.88671875" style="359"/>
    <col min="8193" max="8193" width="18.109375" style="359" customWidth="1"/>
    <col min="8194" max="8194" width="14.109375" style="359" customWidth="1"/>
    <col min="8195" max="8195" width="16.5546875" style="359" customWidth="1"/>
    <col min="8196" max="8196" width="9.33203125" style="359" bestFit="1" customWidth="1"/>
    <col min="8197" max="8197" width="8.88671875" style="359"/>
    <col min="8198" max="8200" width="9.109375" style="359" customWidth="1"/>
    <col min="8201" max="8201" width="9.33203125" style="359" bestFit="1" customWidth="1"/>
    <col min="8202" max="8202" width="8.88671875" style="359"/>
    <col min="8203" max="8203" width="9.33203125" style="359" bestFit="1" customWidth="1"/>
    <col min="8204" max="8448" width="8.88671875" style="359"/>
    <col min="8449" max="8449" width="18.109375" style="359" customWidth="1"/>
    <col min="8450" max="8450" width="14.109375" style="359" customWidth="1"/>
    <col min="8451" max="8451" width="16.5546875" style="359" customWidth="1"/>
    <col min="8452" max="8452" width="9.33203125" style="359" bestFit="1" customWidth="1"/>
    <col min="8453" max="8453" width="8.88671875" style="359"/>
    <col min="8454" max="8456" width="9.109375" style="359" customWidth="1"/>
    <col min="8457" max="8457" width="9.33203125" style="359" bestFit="1" customWidth="1"/>
    <col min="8458" max="8458" width="8.88671875" style="359"/>
    <col min="8459" max="8459" width="9.33203125" style="359" bestFit="1" customWidth="1"/>
    <col min="8460" max="8704" width="8.88671875" style="359"/>
    <col min="8705" max="8705" width="18.109375" style="359" customWidth="1"/>
    <col min="8706" max="8706" width="14.109375" style="359" customWidth="1"/>
    <col min="8707" max="8707" width="16.5546875" style="359" customWidth="1"/>
    <col min="8708" max="8708" width="9.33203125" style="359" bestFit="1" customWidth="1"/>
    <col min="8709" max="8709" width="8.88671875" style="359"/>
    <col min="8710" max="8712" width="9.109375" style="359" customWidth="1"/>
    <col min="8713" max="8713" width="9.33203125" style="359" bestFit="1" customWidth="1"/>
    <col min="8714" max="8714" width="8.88671875" style="359"/>
    <col min="8715" max="8715" width="9.33203125" style="359" bestFit="1" customWidth="1"/>
    <col min="8716" max="8960" width="8.88671875" style="359"/>
    <col min="8961" max="8961" width="18.109375" style="359" customWidth="1"/>
    <col min="8962" max="8962" width="14.109375" style="359" customWidth="1"/>
    <col min="8963" max="8963" width="16.5546875" style="359" customWidth="1"/>
    <col min="8964" max="8964" width="9.33203125" style="359" bestFit="1" customWidth="1"/>
    <col min="8965" max="8965" width="8.88671875" style="359"/>
    <col min="8966" max="8968" width="9.109375" style="359" customWidth="1"/>
    <col min="8969" max="8969" width="9.33203125" style="359" bestFit="1" customWidth="1"/>
    <col min="8970" max="8970" width="8.88671875" style="359"/>
    <col min="8971" max="8971" width="9.33203125" style="359" bestFit="1" customWidth="1"/>
    <col min="8972" max="9216" width="8.88671875" style="359"/>
    <col min="9217" max="9217" width="18.109375" style="359" customWidth="1"/>
    <col min="9218" max="9218" width="14.109375" style="359" customWidth="1"/>
    <col min="9219" max="9219" width="16.5546875" style="359" customWidth="1"/>
    <col min="9220" max="9220" width="9.33203125" style="359" bestFit="1" customWidth="1"/>
    <col min="9221" max="9221" width="8.88671875" style="359"/>
    <col min="9222" max="9224" width="9.109375" style="359" customWidth="1"/>
    <col min="9225" max="9225" width="9.33203125" style="359" bestFit="1" customWidth="1"/>
    <col min="9226" max="9226" width="8.88671875" style="359"/>
    <col min="9227" max="9227" width="9.33203125" style="359" bestFit="1" customWidth="1"/>
    <col min="9228" max="9472" width="8.88671875" style="359"/>
    <col min="9473" max="9473" width="18.109375" style="359" customWidth="1"/>
    <col min="9474" max="9474" width="14.109375" style="359" customWidth="1"/>
    <col min="9475" max="9475" width="16.5546875" style="359" customWidth="1"/>
    <col min="9476" max="9476" width="9.33203125" style="359" bestFit="1" customWidth="1"/>
    <col min="9477" max="9477" width="8.88671875" style="359"/>
    <col min="9478" max="9480" width="9.109375" style="359" customWidth="1"/>
    <col min="9481" max="9481" width="9.33203125" style="359" bestFit="1" customWidth="1"/>
    <col min="9482" max="9482" width="8.88671875" style="359"/>
    <col min="9483" max="9483" width="9.33203125" style="359" bestFit="1" customWidth="1"/>
    <col min="9484" max="9728" width="8.88671875" style="359"/>
    <col min="9729" max="9729" width="18.109375" style="359" customWidth="1"/>
    <col min="9730" max="9730" width="14.109375" style="359" customWidth="1"/>
    <col min="9731" max="9731" width="16.5546875" style="359" customWidth="1"/>
    <col min="9732" max="9732" width="9.33203125" style="359" bestFit="1" customWidth="1"/>
    <col min="9733" max="9733" width="8.88671875" style="359"/>
    <col min="9734" max="9736" width="9.109375" style="359" customWidth="1"/>
    <col min="9737" max="9737" width="9.33203125" style="359" bestFit="1" customWidth="1"/>
    <col min="9738" max="9738" width="8.88671875" style="359"/>
    <col min="9739" max="9739" width="9.33203125" style="359" bestFit="1" customWidth="1"/>
    <col min="9740" max="9984" width="8.88671875" style="359"/>
    <col min="9985" max="9985" width="18.109375" style="359" customWidth="1"/>
    <col min="9986" max="9986" width="14.109375" style="359" customWidth="1"/>
    <col min="9987" max="9987" width="16.5546875" style="359" customWidth="1"/>
    <col min="9988" max="9988" width="9.33203125" style="359" bestFit="1" customWidth="1"/>
    <col min="9989" max="9989" width="8.88671875" style="359"/>
    <col min="9990" max="9992" width="9.109375" style="359" customWidth="1"/>
    <col min="9993" max="9993" width="9.33203125" style="359" bestFit="1" customWidth="1"/>
    <col min="9994" max="9994" width="8.88671875" style="359"/>
    <col min="9995" max="9995" width="9.33203125" style="359" bestFit="1" customWidth="1"/>
    <col min="9996" max="10240" width="8.88671875" style="359"/>
    <col min="10241" max="10241" width="18.109375" style="359" customWidth="1"/>
    <col min="10242" max="10242" width="14.109375" style="359" customWidth="1"/>
    <col min="10243" max="10243" width="16.5546875" style="359" customWidth="1"/>
    <col min="10244" max="10244" width="9.33203125" style="359" bestFit="1" customWidth="1"/>
    <col min="10245" max="10245" width="8.88671875" style="359"/>
    <col min="10246" max="10248" width="9.109375" style="359" customWidth="1"/>
    <col min="10249" max="10249" width="9.33203125" style="359" bestFit="1" customWidth="1"/>
    <col min="10250" max="10250" width="8.88671875" style="359"/>
    <col min="10251" max="10251" width="9.33203125" style="359" bestFit="1" customWidth="1"/>
    <col min="10252" max="10496" width="8.88671875" style="359"/>
    <col min="10497" max="10497" width="18.109375" style="359" customWidth="1"/>
    <col min="10498" max="10498" width="14.109375" style="359" customWidth="1"/>
    <col min="10499" max="10499" width="16.5546875" style="359" customWidth="1"/>
    <col min="10500" max="10500" width="9.33203125" style="359" bestFit="1" customWidth="1"/>
    <col min="10501" max="10501" width="8.88671875" style="359"/>
    <col min="10502" max="10504" width="9.109375" style="359" customWidth="1"/>
    <col min="10505" max="10505" width="9.33203125" style="359" bestFit="1" customWidth="1"/>
    <col min="10506" max="10506" width="8.88671875" style="359"/>
    <col min="10507" max="10507" width="9.33203125" style="359" bestFit="1" customWidth="1"/>
    <col min="10508" max="10752" width="8.88671875" style="359"/>
    <col min="10753" max="10753" width="18.109375" style="359" customWidth="1"/>
    <col min="10754" max="10754" width="14.109375" style="359" customWidth="1"/>
    <col min="10755" max="10755" width="16.5546875" style="359" customWidth="1"/>
    <col min="10756" max="10756" width="9.33203125" style="359" bestFit="1" customWidth="1"/>
    <col min="10757" max="10757" width="8.88671875" style="359"/>
    <col min="10758" max="10760" width="9.109375" style="359" customWidth="1"/>
    <col min="10761" max="10761" width="9.33203125" style="359" bestFit="1" customWidth="1"/>
    <col min="10762" max="10762" width="8.88671875" style="359"/>
    <col min="10763" max="10763" width="9.33203125" style="359" bestFit="1" customWidth="1"/>
    <col min="10764" max="11008" width="8.88671875" style="359"/>
    <col min="11009" max="11009" width="18.109375" style="359" customWidth="1"/>
    <col min="11010" max="11010" width="14.109375" style="359" customWidth="1"/>
    <col min="11011" max="11011" width="16.5546875" style="359" customWidth="1"/>
    <col min="11012" max="11012" width="9.33203125" style="359" bestFit="1" customWidth="1"/>
    <col min="11013" max="11013" width="8.88671875" style="359"/>
    <col min="11014" max="11016" width="9.109375" style="359" customWidth="1"/>
    <col min="11017" max="11017" width="9.33203125" style="359" bestFit="1" customWidth="1"/>
    <col min="11018" max="11018" width="8.88671875" style="359"/>
    <col min="11019" max="11019" width="9.33203125" style="359" bestFit="1" customWidth="1"/>
    <col min="11020" max="11264" width="8.88671875" style="359"/>
    <col min="11265" max="11265" width="18.109375" style="359" customWidth="1"/>
    <col min="11266" max="11266" width="14.109375" style="359" customWidth="1"/>
    <col min="11267" max="11267" width="16.5546875" style="359" customWidth="1"/>
    <col min="11268" max="11268" width="9.33203125" style="359" bestFit="1" customWidth="1"/>
    <col min="11269" max="11269" width="8.88671875" style="359"/>
    <col min="11270" max="11272" width="9.109375" style="359" customWidth="1"/>
    <col min="11273" max="11273" width="9.33203125" style="359" bestFit="1" customWidth="1"/>
    <col min="11274" max="11274" width="8.88671875" style="359"/>
    <col min="11275" max="11275" width="9.33203125" style="359" bestFit="1" customWidth="1"/>
    <col min="11276" max="11520" width="8.88671875" style="359"/>
    <col min="11521" max="11521" width="18.109375" style="359" customWidth="1"/>
    <col min="11522" max="11522" width="14.109375" style="359" customWidth="1"/>
    <col min="11523" max="11523" width="16.5546875" style="359" customWidth="1"/>
    <col min="11524" max="11524" width="9.33203125" style="359" bestFit="1" customWidth="1"/>
    <col min="11525" max="11525" width="8.88671875" style="359"/>
    <col min="11526" max="11528" width="9.109375" style="359" customWidth="1"/>
    <col min="11529" max="11529" width="9.33203125" style="359" bestFit="1" customWidth="1"/>
    <col min="11530" max="11530" width="8.88671875" style="359"/>
    <col min="11531" max="11531" width="9.33203125" style="359" bestFit="1" customWidth="1"/>
    <col min="11532" max="11776" width="8.88671875" style="359"/>
    <col min="11777" max="11777" width="18.109375" style="359" customWidth="1"/>
    <col min="11778" max="11778" width="14.109375" style="359" customWidth="1"/>
    <col min="11779" max="11779" width="16.5546875" style="359" customWidth="1"/>
    <col min="11780" max="11780" width="9.33203125" style="359" bestFit="1" customWidth="1"/>
    <col min="11781" max="11781" width="8.88671875" style="359"/>
    <col min="11782" max="11784" width="9.109375" style="359" customWidth="1"/>
    <col min="11785" max="11785" width="9.33203125" style="359" bestFit="1" customWidth="1"/>
    <col min="11786" max="11786" width="8.88671875" style="359"/>
    <col min="11787" max="11787" width="9.33203125" style="359" bestFit="1" customWidth="1"/>
    <col min="11788" max="12032" width="8.88671875" style="359"/>
    <col min="12033" max="12033" width="18.109375" style="359" customWidth="1"/>
    <col min="12034" max="12034" width="14.109375" style="359" customWidth="1"/>
    <col min="12035" max="12035" width="16.5546875" style="359" customWidth="1"/>
    <col min="12036" max="12036" width="9.33203125" style="359" bestFit="1" customWidth="1"/>
    <col min="12037" max="12037" width="8.88671875" style="359"/>
    <col min="12038" max="12040" width="9.109375" style="359" customWidth="1"/>
    <col min="12041" max="12041" width="9.33203125" style="359" bestFit="1" customWidth="1"/>
    <col min="12042" max="12042" width="8.88671875" style="359"/>
    <col min="12043" max="12043" width="9.33203125" style="359" bestFit="1" customWidth="1"/>
    <col min="12044" max="12288" width="8.88671875" style="359"/>
    <col min="12289" max="12289" width="18.109375" style="359" customWidth="1"/>
    <col min="12290" max="12290" width="14.109375" style="359" customWidth="1"/>
    <col min="12291" max="12291" width="16.5546875" style="359" customWidth="1"/>
    <col min="12292" max="12292" width="9.33203125" style="359" bestFit="1" customWidth="1"/>
    <col min="12293" max="12293" width="8.88671875" style="359"/>
    <col min="12294" max="12296" width="9.109375" style="359" customWidth="1"/>
    <col min="12297" max="12297" width="9.33203125" style="359" bestFit="1" customWidth="1"/>
    <col min="12298" max="12298" width="8.88671875" style="359"/>
    <col min="12299" max="12299" width="9.33203125" style="359" bestFit="1" customWidth="1"/>
    <col min="12300" max="12544" width="8.88671875" style="359"/>
    <col min="12545" max="12545" width="18.109375" style="359" customWidth="1"/>
    <col min="12546" max="12546" width="14.109375" style="359" customWidth="1"/>
    <col min="12547" max="12547" width="16.5546875" style="359" customWidth="1"/>
    <col min="12548" max="12548" width="9.33203125" style="359" bestFit="1" customWidth="1"/>
    <col min="12549" max="12549" width="8.88671875" style="359"/>
    <col min="12550" max="12552" width="9.109375" style="359" customWidth="1"/>
    <col min="12553" max="12553" width="9.33203125" style="359" bestFit="1" customWidth="1"/>
    <col min="12554" max="12554" width="8.88671875" style="359"/>
    <col min="12555" max="12555" width="9.33203125" style="359" bestFit="1" customWidth="1"/>
    <col min="12556" max="12800" width="8.88671875" style="359"/>
    <col min="12801" max="12801" width="18.109375" style="359" customWidth="1"/>
    <col min="12802" max="12802" width="14.109375" style="359" customWidth="1"/>
    <col min="12803" max="12803" width="16.5546875" style="359" customWidth="1"/>
    <col min="12804" max="12804" width="9.33203125" style="359" bestFit="1" customWidth="1"/>
    <col min="12805" max="12805" width="8.88671875" style="359"/>
    <col min="12806" max="12808" width="9.109375" style="359" customWidth="1"/>
    <col min="12809" max="12809" width="9.33203125" style="359" bestFit="1" customWidth="1"/>
    <col min="12810" max="12810" width="8.88671875" style="359"/>
    <col min="12811" max="12811" width="9.33203125" style="359" bestFit="1" customWidth="1"/>
    <col min="12812" max="13056" width="8.88671875" style="359"/>
    <col min="13057" max="13057" width="18.109375" style="359" customWidth="1"/>
    <col min="13058" max="13058" width="14.109375" style="359" customWidth="1"/>
    <col min="13059" max="13059" width="16.5546875" style="359" customWidth="1"/>
    <col min="13060" max="13060" width="9.33203125" style="359" bestFit="1" customWidth="1"/>
    <col min="13061" max="13061" width="8.88671875" style="359"/>
    <col min="13062" max="13064" width="9.109375" style="359" customWidth="1"/>
    <col min="13065" max="13065" width="9.33203125" style="359" bestFit="1" customWidth="1"/>
    <col min="13066" max="13066" width="8.88671875" style="359"/>
    <col min="13067" max="13067" width="9.33203125" style="359" bestFit="1" customWidth="1"/>
    <col min="13068" max="13312" width="8.88671875" style="359"/>
    <col min="13313" max="13313" width="18.109375" style="359" customWidth="1"/>
    <col min="13314" max="13314" width="14.109375" style="359" customWidth="1"/>
    <col min="13315" max="13315" width="16.5546875" style="359" customWidth="1"/>
    <col min="13316" max="13316" width="9.33203125" style="359" bestFit="1" customWidth="1"/>
    <col min="13317" max="13317" width="8.88671875" style="359"/>
    <col min="13318" max="13320" width="9.109375" style="359" customWidth="1"/>
    <col min="13321" max="13321" width="9.33203125" style="359" bestFit="1" customWidth="1"/>
    <col min="13322" max="13322" width="8.88671875" style="359"/>
    <col min="13323" max="13323" width="9.33203125" style="359" bestFit="1" customWidth="1"/>
    <col min="13324" max="13568" width="8.88671875" style="359"/>
    <col min="13569" max="13569" width="18.109375" style="359" customWidth="1"/>
    <col min="13570" max="13570" width="14.109375" style="359" customWidth="1"/>
    <col min="13571" max="13571" width="16.5546875" style="359" customWidth="1"/>
    <col min="13572" max="13572" width="9.33203125" style="359" bestFit="1" customWidth="1"/>
    <col min="13573" max="13573" width="8.88671875" style="359"/>
    <col min="13574" max="13576" width="9.109375" style="359" customWidth="1"/>
    <col min="13577" max="13577" width="9.33203125" style="359" bestFit="1" customWidth="1"/>
    <col min="13578" max="13578" width="8.88671875" style="359"/>
    <col min="13579" max="13579" width="9.33203125" style="359" bestFit="1" customWidth="1"/>
    <col min="13580" max="13824" width="8.88671875" style="359"/>
    <col min="13825" max="13825" width="18.109375" style="359" customWidth="1"/>
    <col min="13826" max="13826" width="14.109375" style="359" customWidth="1"/>
    <col min="13827" max="13827" width="16.5546875" style="359" customWidth="1"/>
    <col min="13828" max="13828" width="9.33203125" style="359" bestFit="1" customWidth="1"/>
    <col min="13829" max="13829" width="8.88671875" style="359"/>
    <col min="13830" max="13832" width="9.109375" style="359" customWidth="1"/>
    <col min="13833" max="13833" width="9.33203125" style="359" bestFit="1" customWidth="1"/>
    <col min="13834" max="13834" width="8.88671875" style="359"/>
    <col min="13835" max="13835" width="9.33203125" style="359" bestFit="1" customWidth="1"/>
    <col min="13836" max="14080" width="8.88671875" style="359"/>
    <col min="14081" max="14081" width="18.109375" style="359" customWidth="1"/>
    <col min="14082" max="14082" width="14.109375" style="359" customWidth="1"/>
    <col min="14083" max="14083" width="16.5546875" style="359" customWidth="1"/>
    <col min="14084" max="14084" width="9.33203125" style="359" bestFit="1" customWidth="1"/>
    <col min="14085" max="14085" width="8.88671875" style="359"/>
    <col min="14086" max="14088" width="9.109375" style="359" customWidth="1"/>
    <col min="14089" max="14089" width="9.33203125" style="359" bestFit="1" customWidth="1"/>
    <col min="14090" max="14090" width="8.88671875" style="359"/>
    <col min="14091" max="14091" width="9.33203125" style="359" bestFit="1" customWidth="1"/>
    <col min="14092" max="14336" width="8.88671875" style="359"/>
    <col min="14337" max="14337" width="18.109375" style="359" customWidth="1"/>
    <col min="14338" max="14338" width="14.109375" style="359" customWidth="1"/>
    <col min="14339" max="14339" width="16.5546875" style="359" customWidth="1"/>
    <col min="14340" max="14340" width="9.33203125" style="359" bestFit="1" customWidth="1"/>
    <col min="14341" max="14341" width="8.88671875" style="359"/>
    <col min="14342" max="14344" width="9.109375" style="359" customWidth="1"/>
    <col min="14345" max="14345" width="9.33203125" style="359" bestFit="1" customWidth="1"/>
    <col min="14346" max="14346" width="8.88671875" style="359"/>
    <col min="14347" max="14347" width="9.33203125" style="359" bestFit="1" customWidth="1"/>
    <col min="14348" max="14592" width="8.88671875" style="359"/>
    <col min="14593" max="14593" width="18.109375" style="359" customWidth="1"/>
    <col min="14594" max="14594" width="14.109375" style="359" customWidth="1"/>
    <col min="14595" max="14595" width="16.5546875" style="359" customWidth="1"/>
    <col min="14596" max="14596" width="9.33203125" style="359" bestFit="1" customWidth="1"/>
    <col min="14597" max="14597" width="8.88671875" style="359"/>
    <col min="14598" max="14600" width="9.109375" style="359" customWidth="1"/>
    <col min="14601" max="14601" width="9.33203125" style="359" bestFit="1" customWidth="1"/>
    <col min="14602" max="14602" width="8.88671875" style="359"/>
    <col min="14603" max="14603" width="9.33203125" style="359" bestFit="1" customWidth="1"/>
    <col min="14604" max="14848" width="8.88671875" style="359"/>
    <col min="14849" max="14849" width="18.109375" style="359" customWidth="1"/>
    <col min="14850" max="14850" width="14.109375" style="359" customWidth="1"/>
    <col min="14851" max="14851" width="16.5546875" style="359" customWidth="1"/>
    <col min="14852" max="14852" width="9.33203125" style="359" bestFit="1" customWidth="1"/>
    <col min="14853" max="14853" width="8.88671875" style="359"/>
    <col min="14854" max="14856" width="9.109375" style="359" customWidth="1"/>
    <col min="14857" max="14857" width="9.33203125" style="359" bestFit="1" customWidth="1"/>
    <col min="14858" max="14858" width="8.88671875" style="359"/>
    <col min="14859" max="14859" width="9.33203125" style="359" bestFit="1" customWidth="1"/>
    <col min="14860" max="15104" width="8.88671875" style="359"/>
    <col min="15105" max="15105" width="18.109375" style="359" customWidth="1"/>
    <col min="15106" max="15106" width="14.109375" style="359" customWidth="1"/>
    <col min="15107" max="15107" width="16.5546875" style="359" customWidth="1"/>
    <col min="15108" max="15108" width="9.33203125" style="359" bestFit="1" customWidth="1"/>
    <col min="15109" max="15109" width="8.88671875" style="359"/>
    <col min="15110" max="15112" width="9.109375" style="359" customWidth="1"/>
    <col min="15113" max="15113" width="9.33203125" style="359" bestFit="1" customWidth="1"/>
    <col min="15114" max="15114" width="8.88671875" style="359"/>
    <col min="15115" max="15115" width="9.33203125" style="359" bestFit="1" customWidth="1"/>
    <col min="15116" max="15360" width="8.88671875" style="359"/>
    <col min="15361" max="15361" width="18.109375" style="359" customWidth="1"/>
    <col min="15362" max="15362" width="14.109375" style="359" customWidth="1"/>
    <col min="15363" max="15363" width="16.5546875" style="359" customWidth="1"/>
    <col min="15364" max="15364" width="9.33203125" style="359" bestFit="1" customWidth="1"/>
    <col min="15365" max="15365" width="8.88671875" style="359"/>
    <col min="15366" max="15368" width="9.109375" style="359" customWidth="1"/>
    <col min="15369" max="15369" width="9.33203125" style="359" bestFit="1" customWidth="1"/>
    <col min="15370" max="15370" width="8.88671875" style="359"/>
    <col min="15371" max="15371" width="9.33203125" style="359" bestFit="1" customWidth="1"/>
    <col min="15372" max="15616" width="8.88671875" style="359"/>
    <col min="15617" max="15617" width="18.109375" style="359" customWidth="1"/>
    <col min="15618" max="15618" width="14.109375" style="359" customWidth="1"/>
    <col min="15619" max="15619" width="16.5546875" style="359" customWidth="1"/>
    <col min="15620" max="15620" width="9.33203125" style="359" bestFit="1" customWidth="1"/>
    <col min="15621" max="15621" width="8.88671875" style="359"/>
    <col min="15622" max="15624" width="9.109375" style="359" customWidth="1"/>
    <col min="15625" max="15625" width="9.33203125" style="359" bestFit="1" customWidth="1"/>
    <col min="15626" max="15626" width="8.88671875" style="359"/>
    <col min="15627" max="15627" width="9.33203125" style="359" bestFit="1" customWidth="1"/>
    <col min="15628" max="15872" width="8.88671875" style="359"/>
    <col min="15873" max="15873" width="18.109375" style="359" customWidth="1"/>
    <col min="15874" max="15874" width="14.109375" style="359" customWidth="1"/>
    <col min="15875" max="15875" width="16.5546875" style="359" customWidth="1"/>
    <col min="15876" max="15876" width="9.33203125" style="359" bestFit="1" customWidth="1"/>
    <col min="15877" max="15877" width="8.88671875" style="359"/>
    <col min="15878" max="15880" width="9.109375" style="359" customWidth="1"/>
    <col min="15881" max="15881" width="9.33203125" style="359" bestFit="1" customWidth="1"/>
    <col min="15882" max="15882" width="8.88671875" style="359"/>
    <col min="15883" max="15883" width="9.33203125" style="359" bestFit="1" customWidth="1"/>
    <col min="15884" max="16128" width="8.88671875" style="359"/>
    <col min="16129" max="16129" width="18.109375" style="359" customWidth="1"/>
    <col min="16130" max="16130" width="14.109375" style="359" customWidth="1"/>
    <col min="16131" max="16131" width="16.5546875" style="359" customWidth="1"/>
    <col min="16132" max="16132" width="9.33203125" style="359" bestFit="1" customWidth="1"/>
    <col min="16133" max="16133" width="8.88671875" style="359"/>
    <col min="16134" max="16136" width="9.109375" style="359" customWidth="1"/>
    <col min="16137" max="16137" width="9.33203125" style="359" bestFit="1" customWidth="1"/>
    <col min="16138" max="16138" width="8.88671875" style="359"/>
    <col min="16139" max="16139" width="9.33203125" style="359" bestFit="1" customWidth="1"/>
    <col min="16140" max="16384" width="8.88671875" style="359"/>
  </cols>
  <sheetData>
    <row r="2" spans="1:11" ht="17.399999999999999">
      <c r="A2" s="999" t="s">
        <v>197</v>
      </c>
      <c r="B2" s="999"/>
      <c r="C2" s="999"/>
    </row>
    <row r="3" spans="1:11">
      <c r="A3" s="1000" t="s">
        <v>198</v>
      </c>
      <c r="B3" s="1000"/>
      <c r="C3" s="1000"/>
      <c r="D3" s="361"/>
    </row>
    <row r="4" spans="1:11">
      <c r="A4" s="362"/>
      <c r="B4" s="362" t="s">
        <v>199</v>
      </c>
      <c r="C4" s="362" t="s">
        <v>200</v>
      </c>
      <c r="D4" s="358" t="s">
        <v>201</v>
      </c>
    </row>
    <row r="5" spans="1:11">
      <c r="A5" s="362" t="s">
        <v>202</v>
      </c>
      <c r="B5" s="363">
        <v>1900000</v>
      </c>
      <c r="C5" s="363">
        <f>B5/12*13</f>
        <v>2058333.3333333335</v>
      </c>
      <c r="D5" s="358">
        <f>+ROUND(C5/1936.27,2)</f>
        <v>1063.04</v>
      </c>
      <c r="I5" s="364"/>
      <c r="K5" s="364"/>
    </row>
    <row r="6" spans="1:11">
      <c r="A6" s="362" t="s">
        <v>203</v>
      </c>
      <c r="B6" s="363">
        <v>800000</v>
      </c>
      <c r="C6" s="363">
        <f>ROUND(B6/12*13,0)</f>
        <v>866667</v>
      </c>
      <c r="D6" s="358">
        <f t="shared" ref="D6:D30" si="0">+ROUND(C6/1936.27,2)</f>
        <v>447.6</v>
      </c>
    </row>
    <row r="7" spans="1:11">
      <c r="A7" s="362" t="s">
        <v>204</v>
      </c>
      <c r="B7" s="363">
        <v>444000</v>
      </c>
      <c r="C7" s="363">
        <f>ROUND(B7/12*13,0)</f>
        <v>481000</v>
      </c>
      <c r="D7" s="358">
        <f t="shared" si="0"/>
        <v>248.42</v>
      </c>
    </row>
    <row r="8" spans="1:11">
      <c r="A8" s="362" t="s">
        <v>205</v>
      </c>
      <c r="B8" s="363">
        <v>536000</v>
      </c>
      <c r="C8" s="363">
        <f>ROUND(B8/12*13,0)</f>
        <v>580667</v>
      </c>
      <c r="D8" s="358">
        <f t="shared" si="0"/>
        <v>299.89</v>
      </c>
    </row>
    <row r="9" spans="1:11">
      <c r="A9" s="362" t="s">
        <v>206</v>
      </c>
      <c r="B9" s="363">
        <v>400000</v>
      </c>
      <c r="C9" s="363">
        <f>ROUND(B9/12*13,0)</f>
        <v>433333</v>
      </c>
      <c r="D9" s="358">
        <f t="shared" si="0"/>
        <v>223.8</v>
      </c>
    </row>
    <row r="10" spans="1:11">
      <c r="A10" s="362" t="s">
        <v>207</v>
      </c>
      <c r="B10" s="362"/>
      <c r="C10" s="365"/>
    </row>
    <row r="11" spans="1:11">
      <c r="A11" s="362" t="s">
        <v>208</v>
      </c>
      <c r="B11" s="363">
        <v>1900000</v>
      </c>
      <c r="C11" s="363">
        <f>B11/12*13</f>
        <v>2058333.3333333335</v>
      </c>
      <c r="D11" s="358">
        <f t="shared" si="0"/>
        <v>1063.04</v>
      </c>
    </row>
    <row r="12" spans="1:11">
      <c r="A12" s="362" t="s">
        <v>209</v>
      </c>
      <c r="B12" s="363">
        <v>1900000</v>
      </c>
      <c r="C12" s="363">
        <f>B12/12*13</f>
        <v>2058333.3333333335</v>
      </c>
      <c r="D12" s="421">
        <f t="shared" si="0"/>
        <v>1063.04</v>
      </c>
      <c r="E12" s="423">
        <f>D12</f>
        <v>1063.04</v>
      </c>
    </row>
    <row r="13" spans="1:11">
      <c r="A13" s="362" t="s">
        <v>210</v>
      </c>
      <c r="B13" s="363"/>
      <c r="C13" s="363"/>
    </row>
    <row r="14" spans="1:11">
      <c r="A14" s="362" t="s">
        <v>211</v>
      </c>
      <c r="B14" s="363">
        <v>1900000</v>
      </c>
      <c r="C14" s="363">
        <f>B14/12*13</f>
        <v>2058333.3333333335</v>
      </c>
      <c r="D14" s="358">
        <f t="shared" si="0"/>
        <v>1063.04</v>
      </c>
    </row>
    <row r="15" spans="1:11">
      <c r="A15" s="362" t="s">
        <v>212</v>
      </c>
      <c r="B15" s="363"/>
      <c r="C15" s="363"/>
    </row>
    <row r="16" spans="1:11">
      <c r="A16" s="362" t="s">
        <v>213</v>
      </c>
      <c r="B16" s="363">
        <v>1900000</v>
      </c>
      <c r="C16" s="363">
        <f>B16/12*13</f>
        <v>2058333.3333333335</v>
      </c>
      <c r="D16" s="358">
        <f t="shared" si="0"/>
        <v>1063.04</v>
      </c>
    </row>
    <row r="17" spans="1:5">
      <c r="A17" s="362" t="s">
        <v>214</v>
      </c>
      <c r="B17" s="363">
        <v>444000</v>
      </c>
      <c r="C17" s="363">
        <f>ROUND(B17/12*13,0)</f>
        <v>481000</v>
      </c>
      <c r="D17" s="358">
        <f t="shared" si="0"/>
        <v>248.42</v>
      </c>
    </row>
    <row r="18" spans="1:5">
      <c r="A18" s="362" t="s">
        <v>215</v>
      </c>
      <c r="B18" s="363">
        <v>800000</v>
      </c>
      <c r="C18" s="363">
        <f>ROUND(B18/12*13,0)</f>
        <v>866667</v>
      </c>
      <c r="D18" s="358">
        <f t="shared" si="0"/>
        <v>447.6</v>
      </c>
    </row>
    <row r="19" spans="1:5">
      <c r="A19" s="362" t="s">
        <v>216</v>
      </c>
      <c r="B19" s="363"/>
      <c r="C19" s="363"/>
    </row>
    <row r="20" spans="1:5">
      <c r="A20" s="362" t="s">
        <v>217</v>
      </c>
      <c r="B20" s="363"/>
      <c r="C20" s="363"/>
    </row>
    <row r="21" spans="1:5">
      <c r="A21" s="362" t="s">
        <v>218</v>
      </c>
      <c r="B21" s="363">
        <v>536000</v>
      </c>
      <c r="C21" s="363">
        <f t="shared" ref="C21:C27" si="1">ROUND(B21/12*13,0)</f>
        <v>580667</v>
      </c>
      <c r="D21" s="421">
        <f t="shared" si="0"/>
        <v>299.89</v>
      </c>
      <c r="E21" s="424">
        <f>D21</f>
        <v>299.89</v>
      </c>
    </row>
    <row r="22" spans="1:5">
      <c r="A22" s="362" t="s">
        <v>219</v>
      </c>
      <c r="B22" s="363">
        <v>536000</v>
      </c>
      <c r="C22" s="363">
        <f t="shared" si="1"/>
        <v>580667</v>
      </c>
      <c r="D22" s="358">
        <f t="shared" si="0"/>
        <v>299.89</v>
      </c>
    </row>
    <row r="23" spans="1:5">
      <c r="A23" s="362" t="s">
        <v>220</v>
      </c>
      <c r="B23" s="363">
        <v>800000</v>
      </c>
      <c r="C23" s="363">
        <f t="shared" si="1"/>
        <v>866667</v>
      </c>
      <c r="D23" s="358">
        <f t="shared" si="0"/>
        <v>447.6</v>
      </c>
    </row>
    <row r="24" spans="1:5">
      <c r="A24" s="362" t="s">
        <v>221</v>
      </c>
      <c r="B24" s="363">
        <v>800000</v>
      </c>
      <c r="C24" s="363">
        <f t="shared" si="1"/>
        <v>866667</v>
      </c>
      <c r="D24" s="421">
        <f t="shared" si="0"/>
        <v>447.6</v>
      </c>
      <c r="E24" s="424">
        <f>D24</f>
        <v>447.6</v>
      </c>
    </row>
    <row r="25" spans="1:5">
      <c r="A25" s="362" t="s">
        <v>222</v>
      </c>
      <c r="B25" s="363">
        <v>536000</v>
      </c>
      <c r="C25" s="363">
        <f t="shared" si="1"/>
        <v>580667</v>
      </c>
      <c r="D25" s="421">
        <f t="shared" si="0"/>
        <v>299.89</v>
      </c>
      <c r="E25" s="424">
        <f>D25</f>
        <v>299.89</v>
      </c>
    </row>
    <row r="26" spans="1:5">
      <c r="A26" s="362" t="s">
        <v>223</v>
      </c>
      <c r="B26" s="363">
        <v>536000</v>
      </c>
      <c r="C26" s="363">
        <f t="shared" si="1"/>
        <v>580667</v>
      </c>
      <c r="D26" s="421">
        <f t="shared" si="0"/>
        <v>299.89</v>
      </c>
      <c r="E26" s="424">
        <f>D26</f>
        <v>299.89</v>
      </c>
    </row>
    <row r="27" spans="1:5">
      <c r="A27" s="362" t="s">
        <v>224</v>
      </c>
      <c r="B27" s="363">
        <v>400000</v>
      </c>
      <c r="C27" s="363">
        <f t="shared" si="1"/>
        <v>433333</v>
      </c>
      <c r="D27" s="421">
        <f t="shared" si="0"/>
        <v>223.8</v>
      </c>
      <c r="E27" s="424">
        <f>D27</f>
        <v>223.8</v>
      </c>
    </row>
    <row r="28" spans="1:5">
      <c r="A28" s="362" t="s">
        <v>225</v>
      </c>
      <c r="B28" s="363"/>
      <c r="C28" s="363"/>
    </row>
    <row r="29" spans="1:5">
      <c r="A29" s="362" t="s">
        <v>226</v>
      </c>
      <c r="B29" s="363">
        <v>400000</v>
      </c>
      <c r="C29" s="363">
        <f>ROUND(B29/12*13,0)</f>
        <v>433333</v>
      </c>
      <c r="D29" s="421">
        <f t="shared" si="0"/>
        <v>223.8</v>
      </c>
      <c r="E29" s="424">
        <f>D29</f>
        <v>223.8</v>
      </c>
    </row>
    <row r="30" spans="1:5">
      <c r="A30" s="362" t="s">
        <v>227</v>
      </c>
      <c r="B30" s="363">
        <v>1900000</v>
      </c>
      <c r="C30" s="363">
        <f>B30/12*13</f>
        <v>2058333.3333333335</v>
      </c>
      <c r="D30" s="358">
        <f t="shared" si="0"/>
        <v>1063.04</v>
      </c>
    </row>
    <row r="31" spans="1:5">
      <c r="A31" s="362"/>
      <c r="B31" s="363"/>
      <c r="C31" s="363"/>
    </row>
    <row r="32" spans="1:5">
      <c r="A32" s="362" t="s">
        <v>228</v>
      </c>
      <c r="B32" s="363"/>
      <c r="C32" s="363">
        <f>+SUM(C5:C31)</f>
        <v>20982002.000000004</v>
      </c>
      <c r="E32" s="425">
        <f>+SUM(E5:E31)</f>
        <v>2857.91</v>
      </c>
    </row>
    <row r="33" spans="1:3">
      <c r="A33" s="362" t="s">
        <v>229</v>
      </c>
      <c r="B33" s="363"/>
      <c r="C33" s="358">
        <f>+ROUND(C32/1936.27,2)</f>
        <v>10836.3</v>
      </c>
    </row>
    <row r="34" spans="1:3">
      <c r="A34" s="362"/>
      <c r="B34" s="363"/>
      <c r="C34" s="363"/>
    </row>
    <row r="35" spans="1:3">
      <c r="A35" s="362"/>
      <c r="B35" s="363"/>
      <c r="C35" s="363"/>
    </row>
    <row r="36" spans="1:3">
      <c r="A36" s="362"/>
      <c r="B36" s="363"/>
      <c r="C36" s="363"/>
    </row>
    <row r="37" spans="1:3">
      <c r="A37" s="362"/>
      <c r="B37" s="365"/>
      <c r="C37" s="362"/>
    </row>
    <row r="38" spans="1:3">
      <c r="A38" s="362"/>
      <c r="B38" s="362"/>
      <c r="C38" s="362"/>
    </row>
    <row r="39" spans="1:3">
      <c r="A39" s="362"/>
      <c r="B39" s="362"/>
      <c r="C39" s="362"/>
    </row>
    <row r="40" spans="1:3">
      <c r="A40" s="362"/>
      <c r="B40" s="362"/>
      <c r="C40" s="362"/>
    </row>
  </sheetData>
  <mergeCells count="2">
    <mergeCell ref="A2:C2"/>
    <mergeCell ref="A3:C3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5"/>
  <dimension ref="A1:G36"/>
  <sheetViews>
    <sheetView topLeftCell="A13" workbookViewId="0">
      <selection activeCell="F32" sqref="F32"/>
    </sheetView>
  </sheetViews>
  <sheetFormatPr defaultRowHeight="13.2"/>
  <cols>
    <col min="1" max="1" width="5.6640625" style="359" customWidth="1"/>
    <col min="2" max="2" width="7.33203125" style="359" customWidth="1"/>
    <col min="3" max="3" width="8.88671875" style="359"/>
    <col min="4" max="4" width="16.5546875" style="359" bestFit="1" customWidth="1"/>
    <col min="5" max="5" width="15" style="359" bestFit="1" customWidth="1"/>
    <col min="6" max="6" width="16.5546875" style="359" customWidth="1"/>
    <col min="7" max="7" width="15.5546875" style="359" customWidth="1"/>
    <col min="8" max="256" width="8.88671875" style="359"/>
    <col min="257" max="257" width="5.6640625" style="359" customWidth="1"/>
    <col min="258" max="258" width="7.33203125" style="359" customWidth="1"/>
    <col min="259" max="259" width="8.88671875" style="359"/>
    <col min="260" max="260" width="16.5546875" style="359" bestFit="1" customWidth="1"/>
    <col min="261" max="261" width="15" style="359" bestFit="1" customWidth="1"/>
    <col min="262" max="262" width="16.5546875" style="359" customWidth="1"/>
    <col min="263" max="263" width="15.5546875" style="359" customWidth="1"/>
    <col min="264" max="512" width="8.88671875" style="359"/>
    <col min="513" max="513" width="5.6640625" style="359" customWidth="1"/>
    <col min="514" max="514" width="7.33203125" style="359" customWidth="1"/>
    <col min="515" max="515" width="8.88671875" style="359"/>
    <col min="516" max="516" width="16.5546875" style="359" bestFit="1" customWidth="1"/>
    <col min="517" max="517" width="15" style="359" bestFit="1" customWidth="1"/>
    <col min="518" max="518" width="16.5546875" style="359" customWidth="1"/>
    <col min="519" max="519" width="15.5546875" style="359" customWidth="1"/>
    <col min="520" max="768" width="8.88671875" style="359"/>
    <col min="769" max="769" width="5.6640625" style="359" customWidth="1"/>
    <col min="770" max="770" width="7.33203125" style="359" customWidth="1"/>
    <col min="771" max="771" width="8.88671875" style="359"/>
    <col min="772" max="772" width="16.5546875" style="359" bestFit="1" customWidth="1"/>
    <col min="773" max="773" width="15" style="359" bestFit="1" customWidth="1"/>
    <col min="774" max="774" width="16.5546875" style="359" customWidth="1"/>
    <col min="775" max="775" width="15.5546875" style="359" customWidth="1"/>
    <col min="776" max="1024" width="8.88671875" style="359"/>
    <col min="1025" max="1025" width="5.6640625" style="359" customWidth="1"/>
    <col min="1026" max="1026" width="7.33203125" style="359" customWidth="1"/>
    <col min="1027" max="1027" width="8.88671875" style="359"/>
    <col min="1028" max="1028" width="16.5546875" style="359" bestFit="1" customWidth="1"/>
    <col min="1029" max="1029" width="15" style="359" bestFit="1" customWidth="1"/>
    <col min="1030" max="1030" width="16.5546875" style="359" customWidth="1"/>
    <col min="1031" max="1031" width="15.5546875" style="359" customWidth="1"/>
    <col min="1032" max="1280" width="8.88671875" style="359"/>
    <col min="1281" max="1281" width="5.6640625" style="359" customWidth="1"/>
    <col min="1282" max="1282" width="7.33203125" style="359" customWidth="1"/>
    <col min="1283" max="1283" width="8.88671875" style="359"/>
    <col min="1284" max="1284" width="16.5546875" style="359" bestFit="1" customWidth="1"/>
    <col min="1285" max="1285" width="15" style="359" bestFit="1" customWidth="1"/>
    <col min="1286" max="1286" width="16.5546875" style="359" customWidth="1"/>
    <col min="1287" max="1287" width="15.5546875" style="359" customWidth="1"/>
    <col min="1288" max="1536" width="8.88671875" style="359"/>
    <col min="1537" max="1537" width="5.6640625" style="359" customWidth="1"/>
    <col min="1538" max="1538" width="7.33203125" style="359" customWidth="1"/>
    <col min="1539" max="1539" width="8.88671875" style="359"/>
    <col min="1540" max="1540" width="16.5546875" style="359" bestFit="1" customWidth="1"/>
    <col min="1541" max="1541" width="15" style="359" bestFit="1" customWidth="1"/>
    <col min="1542" max="1542" width="16.5546875" style="359" customWidth="1"/>
    <col min="1543" max="1543" width="15.5546875" style="359" customWidth="1"/>
    <col min="1544" max="1792" width="8.88671875" style="359"/>
    <col min="1793" max="1793" width="5.6640625" style="359" customWidth="1"/>
    <col min="1794" max="1794" width="7.33203125" style="359" customWidth="1"/>
    <col min="1795" max="1795" width="8.88671875" style="359"/>
    <col min="1796" max="1796" width="16.5546875" style="359" bestFit="1" customWidth="1"/>
    <col min="1797" max="1797" width="15" style="359" bestFit="1" customWidth="1"/>
    <col min="1798" max="1798" width="16.5546875" style="359" customWidth="1"/>
    <col min="1799" max="1799" width="15.5546875" style="359" customWidth="1"/>
    <col min="1800" max="2048" width="8.88671875" style="359"/>
    <col min="2049" max="2049" width="5.6640625" style="359" customWidth="1"/>
    <col min="2050" max="2050" width="7.33203125" style="359" customWidth="1"/>
    <col min="2051" max="2051" width="8.88671875" style="359"/>
    <col min="2052" max="2052" width="16.5546875" style="359" bestFit="1" customWidth="1"/>
    <col min="2053" max="2053" width="15" style="359" bestFit="1" customWidth="1"/>
    <col min="2054" max="2054" width="16.5546875" style="359" customWidth="1"/>
    <col min="2055" max="2055" width="15.5546875" style="359" customWidth="1"/>
    <col min="2056" max="2304" width="8.88671875" style="359"/>
    <col min="2305" max="2305" width="5.6640625" style="359" customWidth="1"/>
    <col min="2306" max="2306" width="7.33203125" style="359" customWidth="1"/>
    <col min="2307" max="2307" width="8.88671875" style="359"/>
    <col min="2308" max="2308" width="16.5546875" style="359" bestFit="1" customWidth="1"/>
    <col min="2309" max="2309" width="15" style="359" bestFit="1" customWidth="1"/>
    <col min="2310" max="2310" width="16.5546875" style="359" customWidth="1"/>
    <col min="2311" max="2311" width="15.5546875" style="359" customWidth="1"/>
    <col min="2312" max="2560" width="8.88671875" style="359"/>
    <col min="2561" max="2561" width="5.6640625" style="359" customWidth="1"/>
    <col min="2562" max="2562" width="7.33203125" style="359" customWidth="1"/>
    <col min="2563" max="2563" width="8.88671875" style="359"/>
    <col min="2564" max="2564" width="16.5546875" style="359" bestFit="1" customWidth="1"/>
    <col min="2565" max="2565" width="15" style="359" bestFit="1" customWidth="1"/>
    <col min="2566" max="2566" width="16.5546875" style="359" customWidth="1"/>
    <col min="2567" max="2567" width="15.5546875" style="359" customWidth="1"/>
    <col min="2568" max="2816" width="8.88671875" style="359"/>
    <col min="2817" max="2817" width="5.6640625" style="359" customWidth="1"/>
    <col min="2818" max="2818" width="7.33203125" style="359" customWidth="1"/>
    <col min="2819" max="2819" width="8.88671875" style="359"/>
    <col min="2820" max="2820" width="16.5546875" style="359" bestFit="1" customWidth="1"/>
    <col min="2821" max="2821" width="15" style="359" bestFit="1" customWidth="1"/>
    <col min="2822" max="2822" width="16.5546875" style="359" customWidth="1"/>
    <col min="2823" max="2823" width="15.5546875" style="359" customWidth="1"/>
    <col min="2824" max="3072" width="8.88671875" style="359"/>
    <col min="3073" max="3073" width="5.6640625" style="359" customWidth="1"/>
    <col min="3074" max="3074" width="7.33203125" style="359" customWidth="1"/>
    <col min="3075" max="3075" width="8.88671875" style="359"/>
    <col min="3076" max="3076" width="16.5546875" style="359" bestFit="1" customWidth="1"/>
    <col min="3077" max="3077" width="15" style="359" bestFit="1" customWidth="1"/>
    <col min="3078" max="3078" width="16.5546875" style="359" customWidth="1"/>
    <col min="3079" max="3079" width="15.5546875" style="359" customWidth="1"/>
    <col min="3080" max="3328" width="8.88671875" style="359"/>
    <col min="3329" max="3329" width="5.6640625" style="359" customWidth="1"/>
    <col min="3330" max="3330" width="7.33203125" style="359" customWidth="1"/>
    <col min="3331" max="3331" width="8.88671875" style="359"/>
    <col min="3332" max="3332" width="16.5546875" style="359" bestFit="1" customWidth="1"/>
    <col min="3333" max="3333" width="15" style="359" bestFit="1" customWidth="1"/>
    <col min="3334" max="3334" width="16.5546875" style="359" customWidth="1"/>
    <col min="3335" max="3335" width="15.5546875" style="359" customWidth="1"/>
    <col min="3336" max="3584" width="8.88671875" style="359"/>
    <col min="3585" max="3585" width="5.6640625" style="359" customWidth="1"/>
    <col min="3586" max="3586" width="7.33203125" style="359" customWidth="1"/>
    <col min="3587" max="3587" width="8.88671875" style="359"/>
    <col min="3588" max="3588" width="16.5546875" style="359" bestFit="1" customWidth="1"/>
    <col min="3589" max="3589" width="15" style="359" bestFit="1" customWidth="1"/>
    <col min="3590" max="3590" width="16.5546875" style="359" customWidth="1"/>
    <col min="3591" max="3591" width="15.5546875" style="359" customWidth="1"/>
    <col min="3592" max="3840" width="8.88671875" style="359"/>
    <col min="3841" max="3841" width="5.6640625" style="359" customWidth="1"/>
    <col min="3842" max="3842" width="7.33203125" style="359" customWidth="1"/>
    <col min="3843" max="3843" width="8.88671875" style="359"/>
    <col min="3844" max="3844" width="16.5546875" style="359" bestFit="1" customWidth="1"/>
    <col min="3845" max="3845" width="15" style="359" bestFit="1" customWidth="1"/>
    <col min="3846" max="3846" width="16.5546875" style="359" customWidth="1"/>
    <col min="3847" max="3847" width="15.5546875" style="359" customWidth="1"/>
    <col min="3848" max="4096" width="8.88671875" style="359"/>
    <col min="4097" max="4097" width="5.6640625" style="359" customWidth="1"/>
    <col min="4098" max="4098" width="7.33203125" style="359" customWidth="1"/>
    <col min="4099" max="4099" width="8.88671875" style="359"/>
    <col min="4100" max="4100" width="16.5546875" style="359" bestFit="1" customWidth="1"/>
    <col min="4101" max="4101" width="15" style="359" bestFit="1" customWidth="1"/>
    <col min="4102" max="4102" width="16.5546875" style="359" customWidth="1"/>
    <col min="4103" max="4103" width="15.5546875" style="359" customWidth="1"/>
    <col min="4104" max="4352" width="8.88671875" style="359"/>
    <col min="4353" max="4353" width="5.6640625" style="359" customWidth="1"/>
    <col min="4354" max="4354" width="7.33203125" style="359" customWidth="1"/>
    <col min="4355" max="4355" width="8.88671875" style="359"/>
    <col min="4356" max="4356" width="16.5546875" style="359" bestFit="1" customWidth="1"/>
    <col min="4357" max="4357" width="15" style="359" bestFit="1" customWidth="1"/>
    <col min="4358" max="4358" width="16.5546875" style="359" customWidth="1"/>
    <col min="4359" max="4359" width="15.5546875" style="359" customWidth="1"/>
    <col min="4360" max="4608" width="8.88671875" style="359"/>
    <col min="4609" max="4609" width="5.6640625" style="359" customWidth="1"/>
    <col min="4610" max="4610" width="7.33203125" style="359" customWidth="1"/>
    <col min="4611" max="4611" width="8.88671875" style="359"/>
    <col min="4612" max="4612" width="16.5546875" style="359" bestFit="1" customWidth="1"/>
    <col min="4613" max="4613" width="15" style="359" bestFit="1" customWidth="1"/>
    <col min="4614" max="4614" width="16.5546875" style="359" customWidth="1"/>
    <col min="4615" max="4615" width="15.5546875" style="359" customWidth="1"/>
    <col min="4616" max="4864" width="8.88671875" style="359"/>
    <col min="4865" max="4865" width="5.6640625" style="359" customWidth="1"/>
    <col min="4866" max="4866" width="7.33203125" style="359" customWidth="1"/>
    <col min="4867" max="4867" width="8.88671875" style="359"/>
    <col min="4868" max="4868" width="16.5546875" style="359" bestFit="1" customWidth="1"/>
    <col min="4869" max="4869" width="15" style="359" bestFit="1" customWidth="1"/>
    <col min="4870" max="4870" width="16.5546875" style="359" customWidth="1"/>
    <col min="4871" max="4871" width="15.5546875" style="359" customWidth="1"/>
    <col min="4872" max="5120" width="8.88671875" style="359"/>
    <col min="5121" max="5121" width="5.6640625" style="359" customWidth="1"/>
    <col min="5122" max="5122" width="7.33203125" style="359" customWidth="1"/>
    <col min="5123" max="5123" width="8.88671875" style="359"/>
    <col min="5124" max="5124" width="16.5546875" style="359" bestFit="1" customWidth="1"/>
    <col min="5125" max="5125" width="15" style="359" bestFit="1" customWidth="1"/>
    <col min="5126" max="5126" width="16.5546875" style="359" customWidth="1"/>
    <col min="5127" max="5127" width="15.5546875" style="359" customWidth="1"/>
    <col min="5128" max="5376" width="8.88671875" style="359"/>
    <col min="5377" max="5377" width="5.6640625" style="359" customWidth="1"/>
    <col min="5378" max="5378" width="7.33203125" style="359" customWidth="1"/>
    <col min="5379" max="5379" width="8.88671875" style="359"/>
    <col min="5380" max="5380" width="16.5546875" style="359" bestFit="1" customWidth="1"/>
    <col min="5381" max="5381" width="15" style="359" bestFit="1" customWidth="1"/>
    <col min="5382" max="5382" width="16.5546875" style="359" customWidth="1"/>
    <col min="5383" max="5383" width="15.5546875" style="359" customWidth="1"/>
    <col min="5384" max="5632" width="8.88671875" style="359"/>
    <col min="5633" max="5633" width="5.6640625" style="359" customWidth="1"/>
    <col min="5634" max="5634" width="7.33203125" style="359" customWidth="1"/>
    <col min="5635" max="5635" width="8.88671875" style="359"/>
    <col min="5636" max="5636" width="16.5546875" style="359" bestFit="1" customWidth="1"/>
    <col min="5637" max="5637" width="15" style="359" bestFit="1" customWidth="1"/>
    <col min="5638" max="5638" width="16.5546875" style="359" customWidth="1"/>
    <col min="5639" max="5639" width="15.5546875" style="359" customWidth="1"/>
    <col min="5640" max="5888" width="8.88671875" style="359"/>
    <col min="5889" max="5889" width="5.6640625" style="359" customWidth="1"/>
    <col min="5890" max="5890" width="7.33203125" style="359" customWidth="1"/>
    <col min="5891" max="5891" width="8.88671875" style="359"/>
    <col min="5892" max="5892" width="16.5546875" style="359" bestFit="1" customWidth="1"/>
    <col min="5893" max="5893" width="15" style="359" bestFit="1" customWidth="1"/>
    <col min="5894" max="5894" width="16.5546875" style="359" customWidth="1"/>
    <col min="5895" max="5895" width="15.5546875" style="359" customWidth="1"/>
    <col min="5896" max="6144" width="8.88671875" style="359"/>
    <col min="6145" max="6145" width="5.6640625" style="359" customWidth="1"/>
    <col min="6146" max="6146" width="7.33203125" style="359" customWidth="1"/>
    <col min="6147" max="6147" width="8.88671875" style="359"/>
    <col min="6148" max="6148" width="16.5546875" style="359" bestFit="1" customWidth="1"/>
    <col min="6149" max="6149" width="15" style="359" bestFit="1" customWidth="1"/>
    <col min="6150" max="6150" width="16.5546875" style="359" customWidth="1"/>
    <col min="6151" max="6151" width="15.5546875" style="359" customWidth="1"/>
    <col min="6152" max="6400" width="8.88671875" style="359"/>
    <col min="6401" max="6401" width="5.6640625" style="359" customWidth="1"/>
    <col min="6402" max="6402" width="7.33203125" style="359" customWidth="1"/>
    <col min="6403" max="6403" width="8.88671875" style="359"/>
    <col min="6404" max="6404" width="16.5546875" style="359" bestFit="1" customWidth="1"/>
    <col min="6405" max="6405" width="15" style="359" bestFit="1" customWidth="1"/>
    <col min="6406" max="6406" width="16.5546875" style="359" customWidth="1"/>
    <col min="6407" max="6407" width="15.5546875" style="359" customWidth="1"/>
    <col min="6408" max="6656" width="8.88671875" style="359"/>
    <col min="6657" max="6657" width="5.6640625" style="359" customWidth="1"/>
    <col min="6658" max="6658" width="7.33203125" style="359" customWidth="1"/>
    <col min="6659" max="6659" width="8.88671875" style="359"/>
    <col min="6660" max="6660" width="16.5546875" style="359" bestFit="1" customWidth="1"/>
    <col min="6661" max="6661" width="15" style="359" bestFit="1" customWidth="1"/>
    <col min="6662" max="6662" width="16.5546875" style="359" customWidth="1"/>
    <col min="6663" max="6663" width="15.5546875" style="359" customWidth="1"/>
    <col min="6664" max="6912" width="8.88671875" style="359"/>
    <col min="6913" max="6913" width="5.6640625" style="359" customWidth="1"/>
    <col min="6914" max="6914" width="7.33203125" style="359" customWidth="1"/>
    <col min="6915" max="6915" width="8.88671875" style="359"/>
    <col min="6916" max="6916" width="16.5546875" style="359" bestFit="1" customWidth="1"/>
    <col min="6917" max="6917" width="15" style="359" bestFit="1" customWidth="1"/>
    <col min="6918" max="6918" width="16.5546875" style="359" customWidth="1"/>
    <col min="6919" max="6919" width="15.5546875" style="359" customWidth="1"/>
    <col min="6920" max="7168" width="8.88671875" style="359"/>
    <col min="7169" max="7169" width="5.6640625" style="359" customWidth="1"/>
    <col min="7170" max="7170" width="7.33203125" style="359" customWidth="1"/>
    <col min="7171" max="7171" width="8.88671875" style="359"/>
    <col min="7172" max="7172" width="16.5546875" style="359" bestFit="1" customWidth="1"/>
    <col min="7173" max="7173" width="15" style="359" bestFit="1" customWidth="1"/>
    <col min="7174" max="7174" width="16.5546875" style="359" customWidth="1"/>
    <col min="7175" max="7175" width="15.5546875" style="359" customWidth="1"/>
    <col min="7176" max="7424" width="8.88671875" style="359"/>
    <col min="7425" max="7425" width="5.6640625" style="359" customWidth="1"/>
    <col min="7426" max="7426" width="7.33203125" style="359" customWidth="1"/>
    <col min="7427" max="7427" width="8.88671875" style="359"/>
    <col min="7428" max="7428" width="16.5546875" style="359" bestFit="1" customWidth="1"/>
    <col min="7429" max="7429" width="15" style="359" bestFit="1" customWidth="1"/>
    <col min="7430" max="7430" width="16.5546875" style="359" customWidth="1"/>
    <col min="7431" max="7431" width="15.5546875" style="359" customWidth="1"/>
    <col min="7432" max="7680" width="8.88671875" style="359"/>
    <col min="7681" max="7681" width="5.6640625" style="359" customWidth="1"/>
    <col min="7682" max="7682" width="7.33203125" style="359" customWidth="1"/>
    <col min="7683" max="7683" width="8.88671875" style="359"/>
    <col min="7684" max="7684" width="16.5546875" style="359" bestFit="1" customWidth="1"/>
    <col min="7685" max="7685" width="15" style="359" bestFit="1" customWidth="1"/>
    <col min="7686" max="7686" width="16.5546875" style="359" customWidth="1"/>
    <col min="7687" max="7687" width="15.5546875" style="359" customWidth="1"/>
    <col min="7688" max="7936" width="8.88671875" style="359"/>
    <col min="7937" max="7937" width="5.6640625" style="359" customWidth="1"/>
    <col min="7938" max="7938" width="7.33203125" style="359" customWidth="1"/>
    <col min="7939" max="7939" width="8.88671875" style="359"/>
    <col min="7940" max="7940" width="16.5546875" style="359" bestFit="1" customWidth="1"/>
    <col min="7941" max="7941" width="15" style="359" bestFit="1" customWidth="1"/>
    <col min="7942" max="7942" width="16.5546875" style="359" customWidth="1"/>
    <col min="7943" max="7943" width="15.5546875" style="359" customWidth="1"/>
    <col min="7944" max="8192" width="8.88671875" style="359"/>
    <col min="8193" max="8193" width="5.6640625" style="359" customWidth="1"/>
    <col min="8194" max="8194" width="7.33203125" style="359" customWidth="1"/>
    <col min="8195" max="8195" width="8.88671875" style="359"/>
    <col min="8196" max="8196" width="16.5546875" style="359" bestFit="1" customWidth="1"/>
    <col min="8197" max="8197" width="15" style="359" bestFit="1" customWidth="1"/>
    <col min="8198" max="8198" width="16.5546875" style="359" customWidth="1"/>
    <col min="8199" max="8199" width="15.5546875" style="359" customWidth="1"/>
    <col min="8200" max="8448" width="8.88671875" style="359"/>
    <col min="8449" max="8449" width="5.6640625" style="359" customWidth="1"/>
    <col min="8450" max="8450" width="7.33203125" style="359" customWidth="1"/>
    <col min="8451" max="8451" width="8.88671875" style="359"/>
    <col min="8452" max="8452" width="16.5546875" style="359" bestFit="1" customWidth="1"/>
    <col min="8453" max="8453" width="15" style="359" bestFit="1" customWidth="1"/>
    <col min="8454" max="8454" width="16.5546875" style="359" customWidth="1"/>
    <col min="8455" max="8455" width="15.5546875" style="359" customWidth="1"/>
    <col min="8456" max="8704" width="8.88671875" style="359"/>
    <col min="8705" max="8705" width="5.6640625" style="359" customWidth="1"/>
    <col min="8706" max="8706" width="7.33203125" style="359" customWidth="1"/>
    <col min="8707" max="8707" width="8.88671875" style="359"/>
    <col min="8708" max="8708" width="16.5546875" style="359" bestFit="1" customWidth="1"/>
    <col min="8709" max="8709" width="15" style="359" bestFit="1" customWidth="1"/>
    <col min="8710" max="8710" width="16.5546875" style="359" customWidth="1"/>
    <col min="8711" max="8711" width="15.5546875" style="359" customWidth="1"/>
    <col min="8712" max="8960" width="8.88671875" style="359"/>
    <col min="8961" max="8961" width="5.6640625" style="359" customWidth="1"/>
    <col min="8962" max="8962" width="7.33203125" style="359" customWidth="1"/>
    <col min="8963" max="8963" width="8.88671875" style="359"/>
    <col min="8964" max="8964" width="16.5546875" style="359" bestFit="1" customWidth="1"/>
    <col min="8965" max="8965" width="15" style="359" bestFit="1" customWidth="1"/>
    <col min="8966" max="8966" width="16.5546875" style="359" customWidth="1"/>
    <col min="8967" max="8967" width="15.5546875" style="359" customWidth="1"/>
    <col min="8968" max="9216" width="8.88671875" style="359"/>
    <col min="9217" max="9217" width="5.6640625" style="359" customWidth="1"/>
    <col min="9218" max="9218" width="7.33203125" style="359" customWidth="1"/>
    <col min="9219" max="9219" width="8.88671875" style="359"/>
    <col min="9220" max="9220" width="16.5546875" style="359" bestFit="1" customWidth="1"/>
    <col min="9221" max="9221" width="15" style="359" bestFit="1" customWidth="1"/>
    <col min="9222" max="9222" width="16.5546875" style="359" customWidth="1"/>
    <col min="9223" max="9223" width="15.5546875" style="359" customWidth="1"/>
    <col min="9224" max="9472" width="8.88671875" style="359"/>
    <col min="9473" max="9473" width="5.6640625" style="359" customWidth="1"/>
    <col min="9474" max="9474" width="7.33203125" style="359" customWidth="1"/>
    <col min="9475" max="9475" width="8.88671875" style="359"/>
    <col min="9476" max="9476" width="16.5546875" style="359" bestFit="1" customWidth="1"/>
    <col min="9477" max="9477" width="15" style="359" bestFit="1" customWidth="1"/>
    <col min="9478" max="9478" width="16.5546875" style="359" customWidth="1"/>
    <col min="9479" max="9479" width="15.5546875" style="359" customWidth="1"/>
    <col min="9480" max="9728" width="8.88671875" style="359"/>
    <col min="9729" max="9729" width="5.6640625" style="359" customWidth="1"/>
    <col min="9730" max="9730" width="7.33203125" style="359" customWidth="1"/>
    <col min="9731" max="9731" width="8.88671875" style="359"/>
    <col min="9732" max="9732" width="16.5546875" style="359" bestFit="1" customWidth="1"/>
    <col min="9733" max="9733" width="15" style="359" bestFit="1" customWidth="1"/>
    <col min="9734" max="9734" width="16.5546875" style="359" customWidth="1"/>
    <col min="9735" max="9735" width="15.5546875" style="359" customWidth="1"/>
    <col min="9736" max="9984" width="8.88671875" style="359"/>
    <col min="9985" max="9985" width="5.6640625" style="359" customWidth="1"/>
    <col min="9986" max="9986" width="7.33203125" style="359" customWidth="1"/>
    <col min="9987" max="9987" width="8.88671875" style="359"/>
    <col min="9988" max="9988" width="16.5546875" style="359" bestFit="1" customWidth="1"/>
    <col min="9989" max="9989" width="15" style="359" bestFit="1" customWidth="1"/>
    <col min="9990" max="9990" width="16.5546875" style="359" customWidth="1"/>
    <col min="9991" max="9991" width="15.5546875" style="359" customWidth="1"/>
    <col min="9992" max="10240" width="8.88671875" style="359"/>
    <col min="10241" max="10241" width="5.6640625" style="359" customWidth="1"/>
    <col min="10242" max="10242" width="7.33203125" style="359" customWidth="1"/>
    <col min="10243" max="10243" width="8.88671875" style="359"/>
    <col min="10244" max="10244" width="16.5546875" style="359" bestFit="1" customWidth="1"/>
    <col min="10245" max="10245" width="15" style="359" bestFit="1" customWidth="1"/>
    <col min="10246" max="10246" width="16.5546875" style="359" customWidth="1"/>
    <col min="10247" max="10247" width="15.5546875" style="359" customWidth="1"/>
    <col min="10248" max="10496" width="8.88671875" style="359"/>
    <col min="10497" max="10497" width="5.6640625" style="359" customWidth="1"/>
    <col min="10498" max="10498" width="7.33203125" style="359" customWidth="1"/>
    <col min="10499" max="10499" width="8.88671875" style="359"/>
    <col min="10500" max="10500" width="16.5546875" style="359" bestFit="1" customWidth="1"/>
    <col min="10501" max="10501" width="15" style="359" bestFit="1" customWidth="1"/>
    <col min="10502" max="10502" width="16.5546875" style="359" customWidth="1"/>
    <col min="10503" max="10503" width="15.5546875" style="359" customWidth="1"/>
    <col min="10504" max="10752" width="8.88671875" style="359"/>
    <col min="10753" max="10753" width="5.6640625" style="359" customWidth="1"/>
    <col min="10754" max="10754" width="7.33203125" style="359" customWidth="1"/>
    <col min="10755" max="10755" width="8.88671875" style="359"/>
    <col min="10756" max="10756" width="16.5546875" style="359" bestFit="1" customWidth="1"/>
    <col min="10757" max="10757" width="15" style="359" bestFit="1" customWidth="1"/>
    <col min="10758" max="10758" width="16.5546875" style="359" customWidth="1"/>
    <col min="10759" max="10759" width="15.5546875" style="359" customWidth="1"/>
    <col min="10760" max="11008" width="8.88671875" style="359"/>
    <col min="11009" max="11009" width="5.6640625" style="359" customWidth="1"/>
    <col min="11010" max="11010" width="7.33203125" style="359" customWidth="1"/>
    <col min="11011" max="11011" width="8.88671875" style="359"/>
    <col min="11012" max="11012" width="16.5546875" style="359" bestFit="1" customWidth="1"/>
    <col min="11013" max="11013" width="15" style="359" bestFit="1" customWidth="1"/>
    <col min="11014" max="11014" width="16.5546875" style="359" customWidth="1"/>
    <col min="11015" max="11015" width="15.5546875" style="359" customWidth="1"/>
    <col min="11016" max="11264" width="8.88671875" style="359"/>
    <col min="11265" max="11265" width="5.6640625" style="359" customWidth="1"/>
    <col min="11266" max="11266" width="7.33203125" style="359" customWidth="1"/>
    <col min="11267" max="11267" width="8.88671875" style="359"/>
    <col min="11268" max="11268" width="16.5546875" style="359" bestFit="1" customWidth="1"/>
    <col min="11269" max="11269" width="15" style="359" bestFit="1" customWidth="1"/>
    <col min="11270" max="11270" width="16.5546875" style="359" customWidth="1"/>
    <col min="11271" max="11271" width="15.5546875" style="359" customWidth="1"/>
    <col min="11272" max="11520" width="8.88671875" style="359"/>
    <col min="11521" max="11521" width="5.6640625" style="359" customWidth="1"/>
    <col min="11522" max="11522" width="7.33203125" style="359" customWidth="1"/>
    <col min="11523" max="11523" width="8.88671875" style="359"/>
    <col min="11524" max="11524" width="16.5546875" style="359" bestFit="1" customWidth="1"/>
    <col min="11525" max="11525" width="15" style="359" bestFit="1" customWidth="1"/>
    <col min="11526" max="11526" width="16.5546875" style="359" customWidth="1"/>
    <col min="11527" max="11527" width="15.5546875" style="359" customWidth="1"/>
    <col min="11528" max="11776" width="8.88671875" style="359"/>
    <col min="11777" max="11777" width="5.6640625" style="359" customWidth="1"/>
    <col min="11778" max="11778" width="7.33203125" style="359" customWidth="1"/>
    <col min="11779" max="11779" width="8.88671875" style="359"/>
    <col min="11780" max="11780" width="16.5546875" style="359" bestFit="1" customWidth="1"/>
    <col min="11781" max="11781" width="15" style="359" bestFit="1" customWidth="1"/>
    <col min="11782" max="11782" width="16.5546875" style="359" customWidth="1"/>
    <col min="11783" max="11783" width="15.5546875" style="359" customWidth="1"/>
    <col min="11784" max="12032" width="8.88671875" style="359"/>
    <col min="12033" max="12033" width="5.6640625" style="359" customWidth="1"/>
    <col min="12034" max="12034" width="7.33203125" style="359" customWidth="1"/>
    <col min="12035" max="12035" width="8.88671875" style="359"/>
    <col min="12036" max="12036" width="16.5546875" style="359" bestFit="1" customWidth="1"/>
    <col min="12037" max="12037" width="15" style="359" bestFit="1" customWidth="1"/>
    <col min="12038" max="12038" width="16.5546875" style="359" customWidth="1"/>
    <col min="12039" max="12039" width="15.5546875" style="359" customWidth="1"/>
    <col min="12040" max="12288" width="8.88671875" style="359"/>
    <col min="12289" max="12289" width="5.6640625" style="359" customWidth="1"/>
    <col min="12290" max="12290" width="7.33203125" style="359" customWidth="1"/>
    <col min="12291" max="12291" width="8.88671875" style="359"/>
    <col min="12292" max="12292" width="16.5546875" style="359" bestFit="1" customWidth="1"/>
    <col min="12293" max="12293" width="15" style="359" bestFit="1" customWidth="1"/>
    <col min="12294" max="12294" width="16.5546875" style="359" customWidth="1"/>
    <col min="12295" max="12295" width="15.5546875" style="359" customWidth="1"/>
    <col min="12296" max="12544" width="8.88671875" style="359"/>
    <col min="12545" max="12545" width="5.6640625" style="359" customWidth="1"/>
    <col min="12546" max="12546" width="7.33203125" style="359" customWidth="1"/>
    <col min="12547" max="12547" width="8.88671875" style="359"/>
    <col min="12548" max="12548" width="16.5546875" style="359" bestFit="1" customWidth="1"/>
    <col min="12549" max="12549" width="15" style="359" bestFit="1" customWidth="1"/>
    <col min="12550" max="12550" width="16.5546875" style="359" customWidth="1"/>
    <col min="12551" max="12551" width="15.5546875" style="359" customWidth="1"/>
    <col min="12552" max="12800" width="8.88671875" style="359"/>
    <col min="12801" max="12801" width="5.6640625" style="359" customWidth="1"/>
    <col min="12802" max="12802" width="7.33203125" style="359" customWidth="1"/>
    <col min="12803" max="12803" width="8.88671875" style="359"/>
    <col min="12804" max="12804" width="16.5546875" style="359" bestFit="1" customWidth="1"/>
    <col min="12805" max="12805" width="15" style="359" bestFit="1" customWidth="1"/>
    <col min="12806" max="12806" width="16.5546875" style="359" customWidth="1"/>
    <col min="12807" max="12807" width="15.5546875" style="359" customWidth="1"/>
    <col min="12808" max="13056" width="8.88671875" style="359"/>
    <col min="13057" max="13057" width="5.6640625" style="359" customWidth="1"/>
    <col min="13058" max="13058" width="7.33203125" style="359" customWidth="1"/>
    <col min="13059" max="13059" width="8.88671875" style="359"/>
    <col min="13060" max="13060" width="16.5546875" style="359" bestFit="1" customWidth="1"/>
    <col min="13061" max="13061" width="15" style="359" bestFit="1" customWidth="1"/>
    <col min="13062" max="13062" width="16.5546875" style="359" customWidth="1"/>
    <col min="13063" max="13063" width="15.5546875" style="359" customWidth="1"/>
    <col min="13064" max="13312" width="8.88671875" style="359"/>
    <col min="13313" max="13313" width="5.6640625" style="359" customWidth="1"/>
    <col min="13314" max="13314" width="7.33203125" style="359" customWidth="1"/>
    <col min="13315" max="13315" width="8.88671875" style="359"/>
    <col min="13316" max="13316" width="16.5546875" style="359" bestFit="1" customWidth="1"/>
    <col min="13317" max="13317" width="15" style="359" bestFit="1" customWidth="1"/>
    <col min="13318" max="13318" width="16.5546875" style="359" customWidth="1"/>
    <col min="13319" max="13319" width="15.5546875" style="359" customWidth="1"/>
    <col min="13320" max="13568" width="8.88671875" style="359"/>
    <col min="13569" max="13569" width="5.6640625" style="359" customWidth="1"/>
    <col min="13570" max="13570" width="7.33203125" style="359" customWidth="1"/>
    <col min="13571" max="13571" width="8.88671875" style="359"/>
    <col min="13572" max="13572" width="16.5546875" style="359" bestFit="1" customWidth="1"/>
    <col min="13573" max="13573" width="15" style="359" bestFit="1" customWidth="1"/>
    <col min="13574" max="13574" width="16.5546875" style="359" customWidth="1"/>
    <col min="13575" max="13575" width="15.5546875" style="359" customWidth="1"/>
    <col min="13576" max="13824" width="8.88671875" style="359"/>
    <col min="13825" max="13825" width="5.6640625" style="359" customWidth="1"/>
    <col min="13826" max="13826" width="7.33203125" style="359" customWidth="1"/>
    <col min="13827" max="13827" width="8.88671875" style="359"/>
    <col min="13828" max="13828" width="16.5546875" style="359" bestFit="1" customWidth="1"/>
    <col min="13829" max="13829" width="15" style="359" bestFit="1" customWidth="1"/>
    <col min="13830" max="13830" width="16.5546875" style="359" customWidth="1"/>
    <col min="13831" max="13831" width="15.5546875" style="359" customWidth="1"/>
    <col min="13832" max="14080" width="8.88671875" style="359"/>
    <col min="14081" max="14081" width="5.6640625" style="359" customWidth="1"/>
    <col min="14082" max="14082" width="7.33203125" style="359" customWidth="1"/>
    <col min="14083" max="14083" width="8.88671875" style="359"/>
    <col min="14084" max="14084" width="16.5546875" style="359" bestFit="1" customWidth="1"/>
    <col min="14085" max="14085" width="15" style="359" bestFit="1" customWidth="1"/>
    <col min="14086" max="14086" width="16.5546875" style="359" customWidth="1"/>
    <col min="14087" max="14087" width="15.5546875" style="359" customWidth="1"/>
    <col min="14088" max="14336" width="8.88671875" style="359"/>
    <col min="14337" max="14337" width="5.6640625" style="359" customWidth="1"/>
    <col min="14338" max="14338" width="7.33203125" style="359" customWidth="1"/>
    <col min="14339" max="14339" width="8.88671875" style="359"/>
    <col min="14340" max="14340" width="16.5546875" style="359" bestFit="1" customWidth="1"/>
    <col min="14341" max="14341" width="15" style="359" bestFit="1" customWidth="1"/>
    <col min="14342" max="14342" width="16.5546875" style="359" customWidth="1"/>
    <col min="14343" max="14343" width="15.5546875" style="359" customWidth="1"/>
    <col min="14344" max="14592" width="8.88671875" style="359"/>
    <col min="14593" max="14593" width="5.6640625" style="359" customWidth="1"/>
    <col min="14594" max="14594" width="7.33203125" style="359" customWidth="1"/>
    <col min="14595" max="14595" width="8.88671875" style="359"/>
    <col min="14596" max="14596" width="16.5546875" style="359" bestFit="1" customWidth="1"/>
    <col min="14597" max="14597" width="15" style="359" bestFit="1" customWidth="1"/>
    <col min="14598" max="14598" width="16.5546875" style="359" customWidth="1"/>
    <col min="14599" max="14599" width="15.5546875" style="359" customWidth="1"/>
    <col min="14600" max="14848" width="8.88671875" style="359"/>
    <col min="14849" max="14849" width="5.6640625" style="359" customWidth="1"/>
    <col min="14850" max="14850" width="7.33203125" style="359" customWidth="1"/>
    <col min="14851" max="14851" width="8.88671875" style="359"/>
    <col min="14852" max="14852" width="16.5546875" style="359" bestFit="1" customWidth="1"/>
    <col min="14853" max="14853" width="15" style="359" bestFit="1" customWidth="1"/>
    <col min="14854" max="14854" width="16.5546875" style="359" customWidth="1"/>
    <col min="14855" max="14855" width="15.5546875" style="359" customWidth="1"/>
    <col min="14856" max="15104" width="8.88671875" style="359"/>
    <col min="15105" max="15105" width="5.6640625" style="359" customWidth="1"/>
    <col min="15106" max="15106" width="7.33203125" style="359" customWidth="1"/>
    <col min="15107" max="15107" width="8.88671875" style="359"/>
    <col min="15108" max="15108" width="16.5546875" style="359" bestFit="1" customWidth="1"/>
    <col min="15109" max="15109" width="15" style="359" bestFit="1" customWidth="1"/>
    <col min="15110" max="15110" width="16.5546875" style="359" customWidth="1"/>
    <col min="15111" max="15111" width="15.5546875" style="359" customWidth="1"/>
    <col min="15112" max="15360" width="8.88671875" style="359"/>
    <col min="15361" max="15361" width="5.6640625" style="359" customWidth="1"/>
    <col min="15362" max="15362" width="7.33203125" style="359" customWidth="1"/>
    <col min="15363" max="15363" width="8.88671875" style="359"/>
    <col min="15364" max="15364" width="16.5546875" style="359" bestFit="1" customWidth="1"/>
    <col min="15365" max="15365" width="15" style="359" bestFit="1" customWidth="1"/>
    <col min="15366" max="15366" width="16.5546875" style="359" customWidth="1"/>
    <col min="15367" max="15367" width="15.5546875" style="359" customWidth="1"/>
    <col min="15368" max="15616" width="8.88671875" style="359"/>
    <col min="15617" max="15617" width="5.6640625" style="359" customWidth="1"/>
    <col min="15618" max="15618" width="7.33203125" style="359" customWidth="1"/>
    <col min="15619" max="15619" width="8.88671875" style="359"/>
    <col min="15620" max="15620" width="16.5546875" style="359" bestFit="1" customWidth="1"/>
    <col min="15621" max="15621" width="15" style="359" bestFit="1" customWidth="1"/>
    <col min="15622" max="15622" width="16.5546875" style="359" customWidth="1"/>
    <col min="15623" max="15623" width="15.5546875" style="359" customWidth="1"/>
    <col min="15624" max="15872" width="8.88671875" style="359"/>
    <col min="15873" max="15873" width="5.6640625" style="359" customWidth="1"/>
    <col min="15874" max="15874" width="7.33203125" style="359" customWidth="1"/>
    <col min="15875" max="15875" width="8.88671875" style="359"/>
    <col min="15876" max="15876" width="16.5546875" style="359" bestFit="1" customWidth="1"/>
    <col min="15877" max="15877" width="15" style="359" bestFit="1" customWidth="1"/>
    <col min="15878" max="15878" width="16.5546875" style="359" customWidth="1"/>
    <col min="15879" max="15879" width="15.5546875" style="359" customWidth="1"/>
    <col min="15880" max="16128" width="8.88671875" style="359"/>
    <col min="16129" max="16129" width="5.6640625" style="359" customWidth="1"/>
    <col min="16130" max="16130" width="7.33203125" style="359" customWidth="1"/>
    <col min="16131" max="16131" width="8.88671875" style="359"/>
    <col min="16132" max="16132" width="16.5546875" style="359" bestFit="1" customWidth="1"/>
    <col min="16133" max="16133" width="15" style="359" bestFit="1" customWidth="1"/>
    <col min="16134" max="16134" width="16.5546875" style="359" customWidth="1"/>
    <col min="16135" max="16135" width="15.5546875" style="359" customWidth="1"/>
    <col min="16136" max="16384" width="8.88671875" style="359"/>
  </cols>
  <sheetData>
    <row r="1" spans="1:7">
      <c r="A1" s="362" t="s">
        <v>286</v>
      </c>
    </row>
    <row r="3" spans="1:7" ht="21">
      <c r="A3" s="1001" t="s">
        <v>257</v>
      </c>
      <c r="B3" s="1001"/>
      <c r="C3" s="1001"/>
      <c r="D3" s="1001"/>
      <c r="E3" s="1001"/>
      <c r="F3" s="1001"/>
      <c r="G3" s="1001"/>
    </row>
    <row r="4" spans="1:7" ht="15.6">
      <c r="A4" s="1002" t="s">
        <v>258</v>
      </c>
      <c r="B4" s="1002"/>
      <c r="C4" s="1002"/>
      <c r="D4" s="1002"/>
      <c r="E4" s="1002"/>
      <c r="F4" s="1002"/>
      <c r="G4" s="1002"/>
    </row>
    <row r="7" spans="1:7">
      <c r="C7" s="359" t="s">
        <v>287</v>
      </c>
    </row>
    <row r="8" spans="1:7">
      <c r="D8" s="359" t="s">
        <v>288</v>
      </c>
      <c r="E8" s="359" t="s">
        <v>289</v>
      </c>
      <c r="F8" s="359" t="s">
        <v>290</v>
      </c>
      <c r="G8" s="359" t="s">
        <v>291</v>
      </c>
    </row>
    <row r="9" spans="1:7">
      <c r="B9" s="359" t="s">
        <v>260</v>
      </c>
      <c r="C9" s="359">
        <v>60</v>
      </c>
      <c r="D9" s="380">
        <f>+F9-G9</f>
        <v>286574044</v>
      </c>
      <c r="E9" s="364">
        <v>148003.14000000001</v>
      </c>
      <c r="F9" s="370">
        <v>307100187</v>
      </c>
      <c r="G9" s="370">
        <f>3706091+3974020+4813863+4813863+1963686+1254620</f>
        <v>20526143</v>
      </c>
    </row>
    <row r="10" spans="1:7">
      <c r="B10" s="359" t="s">
        <v>260</v>
      </c>
      <c r="C10" s="359">
        <v>390</v>
      </c>
      <c r="D10" s="381">
        <v>100572330</v>
      </c>
      <c r="E10" s="364">
        <v>51941.27</v>
      </c>
    </row>
    <row r="11" spans="1:7">
      <c r="B11" s="359" t="s">
        <v>260</v>
      </c>
      <c r="C11" s="359">
        <v>430</v>
      </c>
      <c r="D11" s="381">
        <v>65217161</v>
      </c>
      <c r="E11" s="364">
        <v>33681.85</v>
      </c>
    </row>
    <row r="12" spans="1:7">
      <c r="B12" s="359" t="s">
        <v>260</v>
      </c>
      <c r="C12" s="359">
        <v>590</v>
      </c>
      <c r="D12" s="381">
        <v>133543935</v>
      </c>
      <c r="E12" s="364">
        <v>68969.69</v>
      </c>
    </row>
    <row r="13" spans="1:7">
      <c r="B13" s="359" t="s">
        <v>260</v>
      </c>
      <c r="C13" s="359">
        <v>640</v>
      </c>
      <c r="D13" s="381">
        <v>57928584</v>
      </c>
      <c r="E13" s="364">
        <v>29917.62</v>
      </c>
    </row>
    <row r="14" spans="1:7">
      <c r="B14" s="359" t="s">
        <v>260</v>
      </c>
      <c r="C14" s="359">
        <v>680</v>
      </c>
      <c r="D14" s="381">
        <v>60244603</v>
      </c>
      <c r="E14" s="364">
        <v>31113.74</v>
      </c>
    </row>
    <row r="15" spans="1:7">
      <c r="B15" s="359" t="s">
        <v>260</v>
      </c>
      <c r="C15" s="359">
        <v>840</v>
      </c>
      <c r="D15" s="381">
        <v>32079278</v>
      </c>
      <c r="E15" s="364">
        <v>16567.560000000001</v>
      </c>
    </row>
    <row r="16" spans="1:7">
      <c r="B16" s="359" t="s">
        <v>260</v>
      </c>
      <c r="C16" s="359">
        <v>980</v>
      </c>
      <c r="D16" s="381">
        <v>32881848</v>
      </c>
      <c r="E16" s="364">
        <v>16982.060000000001</v>
      </c>
    </row>
    <row r="17" spans="2:6">
      <c r="B17" s="359" t="s">
        <v>260</v>
      </c>
      <c r="C17" s="359">
        <v>1030</v>
      </c>
      <c r="D17" s="381">
        <v>58472909</v>
      </c>
      <c r="E17" s="364">
        <v>30198.74</v>
      </c>
    </row>
    <row r="18" spans="2:6">
      <c r="B18" s="359" t="s">
        <v>260</v>
      </c>
      <c r="C18" s="359">
        <v>1140</v>
      </c>
      <c r="D18" s="381">
        <v>64651105</v>
      </c>
      <c r="E18" s="364">
        <v>33393.64</v>
      </c>
    </row>
    <row r="19" spans="2:6">
      <c r="B19" s="359" t="s">
        <v>260</v>
      </c>
      <c r="C19" s="359">
        <v>1400</v>
      </c>
      <c r="D19" s="381">
        <v>27503292</v>
      </c>
      <c r="E19" s="364">
        <v>14204.26</v>
      </c>
    </row>
    <row r="20" spans="2:6">
      <c r="B20" s="359" t="s">
        <v>260</v>
      </c>
      <c r="C20" s="359">
        <v>1410</v>
      </c>
      <c r="D20" s="381">
        <v>38848041</v>
      </c>
      <c r="E20" s="364">
        <v>20063.34</v>
      </c>
    </row>
    <row r="21" spans="2:6">
      <c r="B21" s="359" t="s">
        <v>260</v>
      </c>
      <c r="C21" s="359">
        <v>68</v>
      </c>
      <c r="D21" s="381">
        <v>44646302</v>
      </c>
      <c r="E21" s="364">
        <v>23057.89</v>
      </c>
    </row>
    <row r="22" spans="2:6">
      <c r="B22" s="359" t="s">
        <v>260</v>
      </c>
      <c r="C22" s="359">
        <v>394</v>
      </c>
      <c r="D22" s="381">
        <v>11637639</v>
      </c>
      <c r="E22" s="364">
        <v>6010.34</v>
      </c>
    </row>
    <row r="23" spans="2:6">
      <c r="B23" s="359" t="s">
        <v>260</v>
      </c>
      <c r="C23" s="359">
        <v>436</v>
      </c>
      <c r="D23" s="382">
        <v>6553699</v>
      </c>
      <c r="E23" s="364">
        <v>3384.7</v>
      </c>
    </row>
    <row r="24" spans="2:6">
      <c r="B24" s="359" t="s">
        <v>260</v>
      </c>
      <c r="C24" s="359">
        <v>596</v>
      </c>
      <c r="D24" s="381">
        <v>9884248</v>
      </c>
      <c r="E24" s="364">
        <v>5104.79</v>
      </c>
    </row>
    <row r="25" spans="2:6">
      <c r="B25" s="359" t="s">
        <v>260</v>
      </c>
      <c r="C25" s="359">
        <v>649</v>
      </c>
      <c r="D25" s="382">
        <v>2984806</v>
      </c>
      <c r="E25" s="364">
        <v>1541.52</v>
      </c>
    </row>
    <row r="26" spans="2:6">
      <c r="B26" s="359" t="s">
        <v>260</v>
      </c>
      <c r="C26" s="359">
        <v>785</v>
      </c>
      <c r="D26" s="382">
        <v>2069872</v>
      </c>
      <c r="E26" s="364">
        <v>1069</v>
      </c>
    </row>
    <row r="27" spans="2:6">
      <c r="B27" s="359" t="s">
        <v>260</v>
      </c>
      <c r="C27" s="359">
        <v>854</v>
      </c>
      <c r="D27" s="382">
        <v>2374849</v>
      </c>
      <c r="E27" s="364">
        <v>1226.51</v>
      </c>
    </row>
    <row r="28" spans="2:6">
      <c r="B28" s="359" t="s">
        <v>260</v>
      </c>
      <c r="C28" s="359">
        <v>985</v>
      </c>
      <c r="D28" s="382">
        <v>1252403</v>
      </c>
      <c r="E28" s="364">
        <v>646.80999999999995</v>
      </c>
    </row>
    <row r="29" spans="2:6">
      <c r="B29" s="359" t="s">
        <v>260</v>
      </c>
      <c r="C29" s="359">
        <v>1037</v>
      </c>
      <c r="D29" s="382">
        <v>2647339</v>
      </c>
      <c r="E29" s="364">
        <v>1367.24</v>
      </c>
    </row>
    <row r="30" spans="2:6">
      <c r="B30" s="359" t="s">
        <v>260</v>
      </c>
      <c r="C30" s="359">
        <v>1144</v>
      </c>
      <c r="D30" s="382">
        <v>2872318</v>
      </c>
      <c r="E30" s="364">
        <v>1483.43</v>
      </c>
    </row>
    <row r="31" spans="2:6">
      <c r="B31" s="359" t="s">
        <v>260</v>
      </c>
      <c r="C31" s="359">
        <v>1405</v>
      </c>
      <c r="D31" s="381">
        <v>4273926</v>
      </c>
      <c r="E31" s="364">
        <v>2207.3000000000002</v>
      </c>
    </row>
    <row r="32" spans="2:6">
      <c r="D32" s="381">
        <f>+SUM(D9:D31)</f>
        <v>1049714531</v>
      </c>
      <c r="E32" s="370">
        <f>+SUM(E9:E31)</f>
        <v>542136.44000000029</v>
      </c>
      <c r="F32" s="476">
        <v>542136.43999999994</v>
      </c>
    </row>
    <row r="33" spans="4:5">
      <c r="D33" s="370"/>
    </row>
    <row r="34" spans="4:5">
      <c r="D34" s="370">
        <f>+E32*0.52%</f>
        <v>2819.1094880000014</v>
      </c>
      <c r="E34" s="366">
        <v>5.1999999999999998E-3</v>
      </c>
    </row>
    <row r="35" spans="4:5">
      <c r="D35" s="426">
        <f>+ROUND(E32*1.2%,2)</f>
        <v>6505.64</v>
      </c>
      <c r="E35" s="427">
        <v>1.2E-2</v>
      </c>
    </row>
    <row r="36" spans="4:5">
      <c r="D36" s="364"/>
    </row>
  </sheetData>
  <mergeCells count="2">
    <mergeCell ref="A3:G3"/>
    <mergeCell ref="A4:G4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9"/>
  <dimension ref="A1:G44"/>
  <sheetViews>
    <sheetView topLeftCell="A10" workbookViewId="0">
      <selection activeCell="D43" sqref="D43"/>
    </sheetView>
  </sheetViews>
  <sheetFormatPr defaultRowHeight="13.2"/>
  <cols>
    <col min="1" max="1" width="8.88671875" style="359"/>
    <col min="2" max="2" width="7.33203125" style="359" customWidth="1"/>
    <col min="3" max="3" width="8.88671875" style="359"/>
    <col min="4" max="4" width="16.5546875" style="359" bestFit="1" customWidth="1"/>
    <col min="5" max="5" width="15" style="359" bestFit="1" customWidth="1"/>
    <col min="6" max="6" width="16.5546875" style="359" customWidth="1"/>
    <col min="7" max="7" width="15.5546875" style="359" customWidth="1"/>
    <col min="8" max="257" width="8.88671875" style="359"/>
    <col min="258" max="258" width="7.33203125" style="359" customWidth="1"/>
    <col min="259" max="259" width="8.88671875" style="359"/>
    <col min="260" max="260" width="16.5546875" style="359" bestFit="1" customWidth="1"/>
    <col min="261" max="261" width="15" style="359" bestFit="1" customWidth="1"/>
    <col min="262" max="262" width="16.5546875" style="359" customWidth="1"/>
    <col min="263" max="263" width="15.5546875" style="359" customWidth="1"/>
    <col min="264" max="513" width="8.88671875" style="359"/>
    <col min="514" max="514" width="7.33203125" style="359" customWidth="1"/>
    <col min="515" max="515" width="8.88671875" style="359"/>
    <col min="516" max="516" width="16.5546875" style="359" bestFit="1" customWidth="1"/>
    <col min="517" max="517" width="15" style="359" bestFit="1" customWidth="1"/>
    <col min="518" max="518" width="16.5546875" style="359" customWidth="1"/>
    <col min="519" max="519" width="15.5546875" style="359" customWidth="1"/>
    <col min="520" max="769" width="8.88671875" style="359"/>
    <col min="770" max="770" width="7.33203125" style="359" customWidth="1"/>
    <col min="771" max="771" width="8.88671875" style="359"/>
    <col min="772" max="772" width="16.5546875" style="359" bestFit="1" customWidth="1"/>
    <col min="773" max="773" width="15" style="359" bestFit="1" customWidth="1"/>
    <col min="774" max="774" width="16.5546875" style="359" customWidth="1"/>
    <col min="775" max="775" width="15.5546875" style="359" customWidth="1"/>
    <col min="776" max="1025" width="8.88671875" style="359"/>
    <col min="1026" max="1026" width="7.33203125" style="359" customWidth="1"/>
    <col min="1027" max="1027" width="8.88671875" style="359"/>
    <col min="1028" max="1028" width="16.5546875" style="359" bestFit="1" customWidth="1"/>
    <col min="1029" max="1029" width="15" style="359" bestFit="1" customWidth="1"/>
    <col min="1030" max="1030" width="16.5546875" style="359" customWidth="1"/>
    <col min="1031" max="1031" width="15.5546875" style="359" customWidth="1"/>
    <col min="1032" max="1281" width="8.88671875" style="359"/>
    <col min="1282" max="1282" width="7.33203125" style="359" customWidth="1"/>
    <col min="1283" max="1283" width="8.88671875" style="359"/>
    <col min="1284" max="1284" width="16.5546875" style="359" bestFit="1" customWidth="1"/>
    <col min="1285" max="1285" width="15" style="359" bestFit="1" customWidth="1"/>
    <col min="1286" max="1286" width="16.5546875" style="359" customWidth="1"/>
    <col min="1287" max="1287" width="15.5546875" style="359" customWidth="1"/>
    <col min="1288" max="1537" width="8.88671875" style="359"/>
    <col min="1538" max="1538" width="7.33203125" style="359" customWidth="1"/>
    <col min="1539" max="1539" width="8.88671875" style="359"/>
    <col min="1540" max="1540" width="16.5546875" style="359" bestFit="1" customWidth="1"/>
    <col min="1541" max="1541" width="15" style="359" bestFit="1" customWidth="1"/>
    <col min="1542" max="1542" width="16.5546875" style="359" customWidth="1"/>
    <col min="1543" max="1543" width="15.5546875" style="359" customWidth="1"/>
    <col min="1544" max="1793" width="8.88671875" style="359"/>
    <col min="1794" max="1794" width="7.33203125" style="359" customWidth="1"/>
    <col min="1795" max="1795" width="8.88671875" style="359"/>
    <col min="1796" max="1796" width="16.5546875" style="359" bestFit="1" customWidth="1"/>
    <col min="1797" max="1797" width="15" style="359" bestFit="1" customWidth="1"/>
    <col min="1798" max="1798" width="16.5546875" style="359" customWidth="1"/>
    <col min="1799" max="1799" width="15.5546875" style="359" customWidth="1"/>
    <col min="1800" max="2049" width="8.88671875" style="359"/>
    <col min="2050" max="2050" width="7.33203125" style="359" customWidth="1"/>
    <col min="2051" max="2051" width="8.88671875" style="359"/>
    <col min="2052" max="2052" width="16.5546875" style="359" bestFit="1" customWidth="1"/>
    <col min="2053" max="2053" width="15" style="359" bestFit="1" customWidth="1"/>
    <col min="2054" max="2054" width="16.5546875" style="359" customWidth="1"/>
    <col min="2055" max="2055" width="15.5546875" style="359" customWidth="1"/>
    <col min="2056" max="2305" width="8.88671875" style="359"/>
    <col min="2306" max="2306" width="7.33203125" style="359" customWidth="1"/>
    <col min="2307" max="2307" width="8.88671875" style="359"/>
    <col min="2308" max="2308" width="16.5546875" style="359" bestFit="1" customWidth="1"/>
    <col min="2309" max="2309" width="15" style="359" bestFit="1" customWidth="1"/>
    <col min="2310" max="2310" width="16.5546875" style="359" customWidth="1"/>
    <col min="2311" max="2311" width="15.5546875" style="359" customWidth="1"/>
    <col min="2312" max="2561" width="8.88671875" style="359"/>
    <col min="2562" max="2562" width="7.33203125" style="359" customWidth="1"/>
    <col min="2563" max="2563" width="8.88671875" style="359"/>
    <col min="2564" max="2564" width="16.5546875" style="359" bestFit="1" customWidth="1"/>
    <col min="2565" max="2565" width="15" style="359" bestFit="1" customWidth="1"/>
    <col min="2566" max="2566" width="16.5546875" style="359" customWidth="1"/>
    <col min="2567" max="2567" width="15.5546875" style="359" customWidth="1"/>
    <col min="2568" max="2817" width="8.88671875" style="359"/>
    <col min="2818" max="2818" width="7.33203125" style="359" customWidth="1"/>
    <col min="2819" max="2819" width="8.88671875" style="359"/>
    <col min="2820" max="2820" width="16.5546875" style="359" bestFit="1" customWidth="1"/>
    <col min="2821" max="2821" width="15" style="359" bestFit="1" customWidth="1"/>
    <col min="2822" max="2822" width="16.5546875" style="359" customWidth="1"/>
    <col min="2823" max="2823" width="15.5546875" style="359" customWidth="1"/>
    <col min="2824" max="3073" width="8.88671875" style="359"/>
    <col min="3074" max="3074" width="7.33203125" style="359" customWidth="1"/>
    <col min="3075" max="3075" width="8.88671875" style="359"/>
    <col min="3076" max="3076" width="16.5546875" style="359" bestFit="1" customWidth="1"/>
    <col min="3077" max="3077" width="15" style="359" bestFit="1" customWidth="1"/>
    <col min="3078" max="3078" width="16.5546875" style="359" customWidth="1"/>
    <col min="3079" max="3079" width="15.5546875" style="359" customWidth="1"/>
    <col min="3080" max="3329" width="8.88671875" style="359"/>
    <col min="3330" max="3330" width="7.33203125" style="359" customWidth="1"/>
    <col min="3331" max="3331" width="8.88671875" style="359"/>
    <col min="3332" max="3332" width="16.5546875" style="359" bestFit="1" customWidth="1"/>
    <col min="3333" max="3333" width="15" style="359" bestFit="1" customWidth="1"/>
    <col min="3334" max="3334" width="16.5546875" style="359" customWidth="1"/>
    <col min="3335" max="3335" width="15.5546875" style="359" customWidth="1"/>
    <col min="3336" max="3585" width="8.88671875" style="359"/>
    <col min="3586" max="3586" width="7.33203125" style="359" customWidth="1"/>
    <col min="3587" max="3587" width="8.88671875" style="359"/>
    <col min="3588" max="3588" width="16.5546875" style="359" bestFit="1" customWidth="1"/>
    <col min="3589" max="3589" width="15" style="359" bestFit="1" customWidth="1"/>
    <col min="3590" max="3590" width="16.5546875" style="359" customWidth="1"/>
    <col min="3591" max="3591" width="15.5546875" style="359" customWidth="1"/>
    <col min="3592" max="3841" width="8.88671875" style="359"/>
    <col min="3842" max="3842" width="7.33203125" style="359" customWidth="1"/>
    <col min="3843" max="3843" width="8.88671875" style="359"/>
    <col min="3844" max="3844" width="16.5546875" style="359" bestFit="1" customWidth="1"/>
    <col min="3845" max="3845" width="15" style="359" bestFit="1" customWidth="1"/>
    <col min="3846" max="3846" width="16.5546875" style="359" customWidth="1"/>
    <col min="3847" max="3847" width="15.5546875" style="359" customWidth="1"/>
    <col min="3848" max="4097" width="8.88671875" style="359"/>
    <col min="4098" max="4098" width="7.33203125" style="359" customWidth="1"/>
    <col min="4099" max="4099" width="8.88671875" style="359"/>
    <col min="4100" max="4100" width="16.5546875" style="359" bestFit="1" customWidth="1"/>
    <col min="4101" max="4101" width="15" style="359" bestFit="1" customWidth="1"/>
    <col min="4102" max="4102" width="16.5546875" style="359" customWidth="1"/>
    <col min="4103" max="4103" width="15.5546875" style="359" customWidth="1"/>
    <col min="4104" max="4353" width="8.88671875" style="359"/>
    <col min="4354" max="4354" width="7.33203125" style="359" customWidth="1"/>
    <col min="4355" max="4355" width="8.88671875" style="359"/>
    <col min="4356" max="4356" width="16.5546875" style="359" bestFit="1" customWidth="1"/>
    <col min="4357" max="4357" width="15" style="359" bestFit="1" customWidth="1"/>
    <col min="4358" max="4358" width="16.5546875" style="359" customWidth="1"/>
    <col min="4359" max="4359" width="15.5546875" style="359" customWidth="1"/>
    <col min="4360" max="4609" width="8.88671875" style="359"/>
    <col min="4610" max="4610" width="7.33203125" style="359" customWidth="1"/>
    <col min="4611" max="4611" width="8.88671875" style="359"/>
    <col min="4612" max="4612" width="16.5546875" style="359" bestFit="1" customWidth="1"/>
    <col min="4613" max="4613" width="15" style="359" bestFit="1" customWidth="1"/>
    <col min="4614" max="4614" width="16.5546875" style="359" customWidth="1"/>
    <col min="4615" max="4615" width="15.5546875" style="359" customWidth="1"/>
    <col min="4616" max="4865" width="8.88671875" style="359"/>
    <col min="4866" max="4866" width="7.33203125" style="359" customWidth="1"/>
    <col min="4867" max="4867" width="8.88671875" style="359"/>
    <col min="4868" max="4868" width="16.5546875" style="359" bestFit="1" customWidth="1"/>
    <col min="4869" max="4869" width="15" style="359" bestFit="1" customWidth="1"/>
    <col min="4870" max="4870" width="16.5546875" style="359" customWidth="1"/>
    <col min="4871" max="4871" width="15.5546875" style="359" customWidth="1"/>
    <col min="4872" max="5121" width="8.88671875" style="359"/>
    <col min="5122" max="5122" width="7.33203125" style="359" customWidth="1"/>
    <col min="5123" max="5123" width="8.88671875" style="359"/>
    <col min="5124" max="5124" width="16.5546875" style="359" bestFit="1" customWidth="1"/>
    <col min="5125" max="5125" width="15" style="359" bestFit="1" customWidth="1"/>
    <col min="5126" max="5126" width="16.5546875" style="359" customWidth="1"/>
    <col min="5127" max="5127" width="15.5546875" style="359" customWidth="1"/>
    <col min="5128" max="5377" width="8.88671875" style="359"/>
    <col min="5378" max="5378" width="7.33203125" style="359" customWidth="1"/>
    <col min="5379" max="5379" width="8.88671875" style="359"/>
    <col min="5380" max="5380" width="16.5546875" style="359" bestFit="1" customWidth="1"/>
    <col min="5381" max="5381" width="15" style="359" bestFit="1" customWidth="1"/>
    <col min="5382" max="5382" width="16.5546875" style="359" customWidth="1"/>
    <col min="5383" max="5383" width="15.5546875" style="359" customWidth="1"/>
    <col min="5384" max="5633" width="8.88671875" style="359"/>
    <col min="5634" max="5634" width="7.33203125" style="359" customWidth="1"/>
    <col min="5635" max="5635" width="8.88671875" style="359"/>
    <col min="5636" max="5636" width="16.5546875" style="359" bestFit="1" customWidth="1"/>
    <col min="5637" max="5637" width="15" style="359" bestFit="1" customWidth="1"/>
    <col min="5638" max="5638" width="16.5546875" style="359" customWidth="1"/>
    <col min="5639" max="5639" width="15.5546875" style="359" customWidth="1"/>
    <col min="5640" max="5889" width="8.88671875" style="359"/>
    <col min="5890" max="5890" width="7.33203125" style="359" customWidth="1"/>
    <col min="5891" max="5891" width="8.88671875" style="359"/>
    <col min="5892" max="5892" width="16.5546875" style="359" bestFit="1" customWidth="1"/>
    <col min="5893" max="5893" width="15" style="359" bestFit="1" customWidth="1"/>
    <col min="5894" max="5894" width="16.5546875" style="359" customWidth="1"/>
    <col min="5895" max="5895" width="15.5546875" style="359" customWidth="1"/>
    <col min="5896" max="6145" width="8.88671875" style="359"/>
    <col min="6146" max="6146" width="7.33203125" style="359" customWidth="1"/>
    <col min="6147" max="6147" width="8.88671875" style="359"/>
    <col min="6148" max="6148" width="16.5546875" style="359" bestFit="1" customWidth="1"/>
    <col min="6149" max="6149" width="15" style="359" bestFit="1" customWidth="1"/>
    <col min="6150" max="6150" width="16.5546875" style="359" customWidth="1"/>
    <col min="6151" max="6151" width="15.5546875" style="359" customWidth="1"/>
    <col min="6152" max="6401" width="8.88671875" style="359"/>
    <col min="6402" max="6402" width="7.33203125" style="359" customWidth="1"/>
    <col min="6403" max="6403" width="8.88671875" style="359"/>
    <col min="6404" max="6404" width="16.5546875" style="359" bestFit="1" customWidth="1"/>
    <col min="6405" max="6405" width="15" style="359" bestFit="1" customWidth="1"/>
    <col min="6406" max="6406" width="16.5546875" style="359" customWidth="1"/>
    <col min="6407" max="6407" width="15.5546875" style="359" customWidth="1"/>
    <col min="6408" max="6657" width="8.88671875" style="359"/>
    <col min="6658" max="6658" width="7.33203125" style="359" customWidth="1"/>
    <col min="6659" max="6659" width="8.88671875" style="359"/>
    <col min="6660" max="6660" width="16.5546875" style="359" bestFit="1" customWidth="1"/>
    <col min="6661" max="6661" width="15" style="359" bestFit="1" customWidth="1"/>
    <col min="6662" max="6662" width="16.5546875" style="359" customWidth="1"/>
    <col min="6663" max="6663" width="15.5546875" style="359" customWidth="1"/>
    <col min="6664" max="6913" width="8.88671875" style="359"/>
    <col min="6914" max="6914" width="7.33203125" style="359" customWidth="1"/>
    <col min="6915" max="6915" width="8.88671875" style="359"/>
    <col min="6916" max="6916" width="16.5546875" style="359" bestFit="1" customWidth="1"/>
    <col min="6917" max="6917" width="15" style="359" bestFit="1" customWidth="1"/>
    <col min="6918" max="6918" width="16.5546875" style="359" customWidth="1"/>
    <col min="6919" max="6919" width="15.5546875" style="359" customWidth="1"/>
    <col min="6920" max="7169" width="8.88671875" style="359"/>
    <col min="7170" max="7170" width="7.33203125" style="359" customWidth="1"/>
    <col min="7171" max="7171" width="8.88671875" style="359"/>
    <col min="7172" max="7172" width="16.5546875" style="359" bestFit="1" customWidth="1"/>
    <col min="7173" max="7173" width="15" style="359" bestFit="1" customWidth="1"/>
    <col min="7174" max="7174" width="16.5546875" style="359" customWidth="1"/>
    <col min="7175" max="7175" width="15.5546875" style="359" customWidth="1"/>
    <col min="7176" max="7425" width="8.88671875" style="359"/>
    <col min="7426" max="7426" width="7.33203125" style="359" customWidth="1"/>
    <col min="7427" max="7427" width="8.88671875" style="359"/>
    <col min="7428" max="7428" width="16.5546875" style="359" bestFit="1" customWidth="1"/>
    <col min="7429" max="7429" width="15" style="359" bestFit="1" customWidth="1"/>
    <col min="7430" max="7430" width="16.5546875" style="359" customWidth="1"/>
    <col min="7431" max="7431" width="15.5546875" style="359" customWidth="1"/>
    <col min="7432" max="7681" width="8.88671875" style="359"/>
    <col min="7682" max="7682" width="7.33203125" style="359" customWidth="1"/>
    <col min="7683" max="7683" width="8.88671875" style="359"/>
    <col min="7684" max="7684" width="16.5546875" style="359" bestFit="1" customWidth="1"/>
    <col min="7685" max="7685" width="15" style="359" bestFit="1" customWidth="1"/>
    <col min="7686" max="7686" width="16.5546875" style="359" customWidth="1"/>
    <col min="7687" max="7687" width="15.5546875" style="359" customWidth="1"/>
    <col min="7688" max="7937" width="8.88671875" style="359"/>
    <col min="7938" max="7938" width="7.33203125" style="359" customWidth="1"/>
    <col min="7939" max="7939" width="8.88671875" style="359"/>
    <col min="7940" max="7940" width="16.5546875" style="359" bestFit="1" customWidth="1"/>
    <col min="7941" max="7941" width="15" style="359" bestFit="1" customWidth="1"/>
    <col min="7942" max="7942" width="16.5546875" style="359" customWidth="1"/>
    <col min="7943" max="7943" width="15.5546875" style="359" customWidth="1"/>
    <col min="7944" max="8193" width="8.88671875" style="359"/>
    <col min="8194" max="8194" width="7.33203125" style="359" customWidth="1"/>
    <col min="8195" max="8195" width="8.88671875" style="359"/>
    <col min="8196" max="8196" width="16.5546875" style="359" bestFit="1" customWidth="1"/>
    <col min="8197" max="8197" width="15" style="359" bestFit="1" customWidth="1"/>
    <col min="8198" max="8198" width="16.5546875" style="359" customWidth="1"/>
    <col min="8199" max="8199" width="15.5546875" style="359" customWidth="1"/>
    <col min="8200" max="8449" width="8.88671875" style="359"/>
    <col min="8450" max="8450" width="7.33203125" style="359" customWidth="1"/>
    <col min="8451" max="8451" width="8.88671875" style="359"/>
    <col min="8452" max="8452" width="16.5546875" style="359" bestFit="1" customWidth="1"/>
    <col min="8453" max="8453" width="15" style="359" bestFit="1" customWidth="1"/>
    <col min="8454" max="8454" width="16.5546875" style="359" customWidth="1"/>
    <col min="8455" max="8455" width="15.5546875" style="359" customWidth="1"/>
    <col min="8456" max="8705" width="8.88671875" style="359"/>
    <col min="8706" max="8706" width="7.33203125" style="359" customWidth="1"/>
    <col min="8707" max="8707" width="8.88671875" style="359"/>
    <col min="8708" max="8708" width="16.5546875" style="359" bestFit="1" customWidth="1"/>
    <col min="8709" max="8709" width="15" style="359" bestFit="1" customWidth="1"/>
    <col min="8710" max="8710" width="16.5546875" style="359" customWidth="1"/>
    <col min="8711" max="8711" width="15.5546875" style="359" customWidth="1"/>
    <col min="8712" max="8961" width="8.88671875" style="359"/>
    <col min="8962" max="8962" width="7.33203125" style="359" customWidth="1"/>
    <col min="8963" max="8963" width="8.88671875" style="359"/>
    <col min="8964" max="8964" width="16.5546875" style="359" bestFit="1" customWidth="1"/>
    <col min="8965" max="8965" width="15" style="359" bestFit="1" customWidth="1"/>
    <col min="8966" max="8966" width="16.5546875" style="359" customWidth="1"/>
    <col min="8967" max="8967" width="15.5546875" style="359" customWidth="1"/>
    <col min="8968" max="9217" width="8.88671875" style="359"/>
    <col min="9218" max="9218" width="7.33203125" style="359" customWidth="1"/>
    <col min="9219" max="9219" width="8.88671875" style="359"/>
    <col min="9220" max="9220" width="16.5546875" style="359" bestFit="1" customWidth="1"/>
    <col min="9221" max="9221" width="15" style="359" bestFit="1" customWidth="1"/>
    <col min="9222" max="9222" width="16.5546875" style="359" customWidth="1"/>
    <col min="9223" max="9223" width="15.5546875" style="359" customWidth="1"/>
    <col min="9224" max="9473" width="8.88671875" style="359"/>
    <col min="9474" max="9474" width="7.33203125" style="359" customWidth="1"/>
    <col min="9475" max="9475" width="8.88671875" style="359"/>
    <col min="9476" max="9476" width="16.5546875" style="359" bestFit="1" customWidth="1"/>
    <col min="9477" max="9477" width="15" style="359" bestFit="1" customWidth="1"/>
    <col min="9478" max="9478" width="16.5546875" style="359" customWidth="1"/>
    <col min="9479" max="9479" width="15.5546875" style="359" customWidth="1"/>
    <col min="9480" max="9729" width="8.88671875" style="359"/>
    <col min="9730" max="9730" width="7.33203125" style="359" customWidth="1"/>
    <col min="9731" max="9731" width="8.88671875" style="359"/>
    <col min="9732" max="9732" width="16.5546875" style="359" bestFit="1" customWidth="1"/>
    <col min="9733" max="9733" width="15" style="359" bestFit="1" customWidth="1"/>
    <col min="9734" max="9734" width="16.5546875" style="359" customWidth="1"/>
    <col min="9735" max="9735" width="15.5546875" style="359" customWidth="1"/>
    <col min="9736" max="9985" width="8.88671875" style="359"/>
    <col min="9986" max="9986" width="7.33203125" style="359" customWidth="1"/>
    <col min="9987" max="9987" width="8.88671875" style="359"/>
    <col min="9988" max="9988" width="16.5546875" style="359" bestFit="1" customWidth="1"/>
    <col min="9989" max="9989" width="15" style="359" bestFit="1" customWidth="1"/>
    <col min="9990" max="9990" width="16.5546875" style="359" customWidth="1"/>
    <col min="9991" max="9991" width="15.5546875" style="359" customWidth="1"/>
    <col min="9992" max="10241" width="8.88671875" style="359"/>
    <col min="10242" max="10242" width="7.33203125" style="359" customWidth="1"/>
    <col min="10243" max="10243" width="8.88671875" style="359"/>
    <col min="10244" max="10244" width="16.5546875" style="359" bestFit="1" customWidth="1"/>
    <col min="10245" max="10245" width="15" style="359" bestFit="1" customWidth="1"/>
    <col min="10246" max="10246" width="16.5546875" style="359" customWidth="1"/>
    <col min="10247" max="10247" width="15.5546875" style="359" customWidth="1"/>
    <col min="10248" max="10497" width="8.88671875" style="359"/>
    <col min="10498" max="10498" width="7.33203125" style="359" customWidth="1"/>
    <col min="10499" max="10499" width="8.88671875" style="359"/>
    <col min="10500" max="10500" width="16.5546875" style="359" bestFit="1" customWidth="1"/>
    <col min="10501" max="10501" width="15" style="359" bestFit="1" customWidth="1"/>
    <col min="10502" max="10502" width="16.5546875" style="359" customWidth="1"/>
    <col min="10503" max="10503" width="15.5546875" style="359" customWidth="1"/>
    <col min="10504" max="10753" width="8.88671875" style="359"/>
    <col min="10754" max="10754" width="7.33203125" style="359" customWidth="1"/>
    <col min="10755" max="10755" width="8.88671875" style="359"/>
    <col min="10756" max="10756" width="16.5546875" style="359" bestFit="1" customWidth="1"/>
    <col min="10757" max="10757" width="15" style="359" bestFit="1" customWidth="1"/>
    <col min="10758" max="10758" width="16.5546875" style="359" customWidth="1"/>
    <col min="10759" max="10759" width="15.5546875" style="359" customWidth="1"/>
    <col min="10760" max="11009" width="8.88671875" style="359"/>
    <col min="11010" max="11010" width="7.33203125" style="359" customWidth="1"/>
    <col min="11011" max="11011" width="8.88671875" style="359"/>
    <col min="11012" max="11012" width="16.5546875" style="359" bestFit="1" customWidth="1"/>
    <col min="11013" max="11013" width="15" style="359" bestFit="1" customWidth="1"/>
    <col min="11014" max="11014" width="16.5546875" style="359" customWidth="1"/>
    <col min="11015" max="11015" width="15.5546875" style="359" customWidth="1"/>
    <col min="11016" max="11265" width="8.88671875" style="359"/>
    <col min="11266" max="11266" width="7.33203125" style="359" customWidth="1"/>
    <col min="11267" max="11267" width="8.88671875" style="359"/>
    <col min="11268" max="11268" width="16.5546875" style="359" bestFit="1" customWidth="1"/>
    <col min="11269" max="11269" width="15" style="359" bestFit="1" customWidth="1"/>
    <col min="11270" max="11270" width="16.5546875" style="359" customWidth="1"/>
    <col min="11271" max="11271" width="15.5546875" style="359" customWidth="1"/>
    <col min="11272" max="11521" width="8.88671875" style="359"/>
    <col min="11522" max="11522" width="7.33203125" style="359" customWidth="1"/>
    <col min="11523" max="11523" width="8.88671875" style="359"/>
    <col min="11524" max="11524" width="16.5546875" style="359" bestFit="1" customWidth="1"/>
    <col min="11525" max="11525" width="15" style="359" bestFit="1" customWidth="1"/>
    <col min="11526" max="11526" width="16.5546875" style="359" customWidth="1"/>
    <col min="11527" max="11527" width="15.5546875" style="359" customWidth="1"/>
    <col min="11528" max="11777" width="8.88671875" style="359"/>
    <col min="11778" max="11778" width="7.33203125" style="359" customWidth="1"/>
    <col min="11779" max="11779" width="8.88671875" style="359"/>
    <col min="11780" max="11780" width="16.5546875" style="359" bestFit="1" customWidth="1"/>
    <col min="11781" max="11781" width="15" style="359" bestFit="1" customWidth="1"/>
    <col min="11782" max="11782" width="16.5546875" style="359" customWidth="1"/>
    <col min="11783" max="11783" width="15.5546875" style="359" customWidth="1"/>
    <col min="11784" max="12033" width="8.88671875" style="359"/>
    <col min="12034" max="12034" width="7.33203125" style="359" customWidth="1"/>
    <col min="12035" max="12035" width="8.88671875" style="359"/>
    <col min="12036" max="12036" width="16.5546875" style="359" bestFit="1" customWidth="1"/>
    <col min="12037" max="12037" width="15" style="359" bestFit="1" customWidth="1"/>
    <col min="12038" max="12038" width="16.5546875" style="359" customWidth="1"/>
    <col min="12039" max="12039" width="15.5546875" style="359" customWidth="1"/>
    <col min="12040" max="12289" width="8.88671875" style="359"/>
    <col min="12290" max="12290" width="7.33203125" style="359" customWidth="1"/>
    <col min="12291" max="12291" width="8.88671875" style="359"/>
    <col min="12292" max="12292" width="16.5546875" style="359" bestFit="1" customWidth="1"/>
    <col min="12293" max="12293" width="15" style="359" bestFit="1" customWidth="1"/>
    <col min="12294" max="12294" width="16.5546875" style="359" customWidth="1"/>
    <col min="12295" max="12295" width="15.5546875" style="359" customWidth="1"/>
    <col min="12296" max="12545" width="8.88671875" style="359"/>
    <col min="12546" max="12546" width="7.33203125" style="359" customWidth="1"/>
    <col min="12547" max="12547" width="8.88671875" style="359"/>
    <col min="12548" max="12548" width="16.5546875" style="359" bestFit="1" customWidth="1"/>
    <col min="12549" max="12549" width="15" style="359" bestFit="1" customWidth="1"/>
    <col min="12550" max="12550" width="16.5546875" style="359" customWidth="1"/>
    <col min="12551" max="12551" width="15.5546875" style="359" customWidth="1"/>
    <col min="12552" max="12801" width="8.88671875" style="359"/>
    <col min="12802" max="12802" width="7.33203125" style="359" customWidth="1"/>
    <col min="12803" max="12803" width="8.88671875" style="359"/>
    <col min="12804" max="12804" width="16.5546875" style="359" bestFit="1" customWidth="1"/>
    <col min="12805" max="12805" width="15" style="359" bestFit="1" customWidth="1"/>
    <col min="12806" max="12806" width="16.5546875" style="359" customWidth="1"/>
    <col min="12807" max="12807" width="15.5546875" style="359" customWidth="1"/>
    <col min="12808" max="13057" width="8.88671875" style="359"/>
    <col min="13058" max="13058" width="7.33203125" style="359" customWidth="1"/>
    <col min="13059" max="13059" width="8.88671875" style="359"/>
    <col min="13060" max="13060" width="16.5546875" style="359" bestFit="1" customWidth="1"/>
    <col min="13061" max="13061" width="15" style="359" bestFit="1" customWidth="1"/>
    <col min="13062" max="13062" width="16.5546875" style="359" customWidth="1"/>
    <col min="13063" max="13063" width="15.5546875" style="359" customWidth="1"/>
    <col min="13064" max="13313" width="8.88671875" style="359"/>
    <col min="13314" max="13314" width="7.33203125" style="359" customWidth="1"/>
    <col min="13315" max="13315" width="8.88671875" style="359"/>
    <col min="13316" max="13316" width="16.5546875" style="359" bestFit="1" customWidth="1"/>
    <col min="13317" max="13317" width="15" style="359" bestFit="1" customWidth="1"/>
    <col min="13318" max="13318" width="16.5546875" style="359" customWidth="1"/>
    <col min="13319" max="13319" width="15.5546875" style="359" customWidth="1"/>
    <col min="13320" max="13569" width="8.88671875" style="359"/>
    <col min="13570" max="13570" width="7.33203125" style="359" customWidth="1"/>
    <col min="13571" max="13571" width="8.88671875" style="359"/>
    <col min="13572" max="13572" width="16.5546875" style="359" bestFit="1" customWidth="1"/>
    <col min="13573" max="13573" width="15" style="359" bestFit="1" customWidth="1"/>
    <col min="13574" max="13574" width="16.5546875" style="359" customWidth="1"/>
    <col min="13575" max="13575" width="15.5546875" style="359" customWidth="1"/>
    <col min="13576" max="13825" width="8.88671875" style="359"/>
    <col min="13826" max="13826" width="7.33203125" style="359" customWidth="1"/>
    <col min="13827" max="13827" width="8.88671875" style="359"/>
    <col min="13828" max="13828" width="16.5546875" style="359" bestFit="1" customWidth="1"/>
    <col min="13829" max="13829" width="15" style="359" bestFit="1" customWidth="1"/>
    <col min="13830" max="13830" width="16.5546875" style="359" customWidth="1"/>
    <col min="13831" max="13831" width="15.5546875" style="359" customWidth="1"/>
    <col min="13832" max="14081" width="8.88671875" style="359"/>
    <col min="14082" max="14082" width="7.33203125" style="359" customWidth="1"/>
    <col min="14083" max="14083" width="8.88671875" style="359"/>
    <col min="14084" max="14084" width="16.5546875" style="359" bestFit="1" customWidth="1"/>
    <col min="14085" max="14085" width="15" style="359" bestFit="1" customWidth="1"/>
    <col min="14086" max="14086" width="16.5546875" style="359" customWidth="1"/>
    <col min="14087" max="14087" width="15.5546875" style="359" customWidth="1"/>
    <col min="14088" max="14337" width="8.88671875" style="359"/>
    <col min="14338" max="14338" width="7.33203125" style="359" customWidth="1"/>
    <col min="14339" max="14339" width="8.88671875" style="359"/>
    <col min="14340" max="14340" width="16.5546875" style="359" bestFit="1" customWidth="1"/>
    <col min="14341" max="14341" width="15" style="359" bestFit="1" customWidth="1"/>
    <col min="14342" max="14342" width="16.5546875" style="359" customWidth="1"/>
    <col min="14343" max="14343" width="15.5546875" style="359" customWidth="1"/>
    <col min="14344" max="14593" width="8.88671875" style="359"/>
    <col min="14594" max="14594" width="7.33203125" style="359" customWidth="1"/>
    <col min="14595" max="14595" width="8.88671875" style="359"/>
    <col min="14596" max="14596" width="16.5546875" style="359" bestFit="1" customWidth="1"/>
    <col min="14597" max="14597" width="15" style="359" bestFit="1" customWidth="1"/>
    <col min="14598" max="14598" width="16.5546875" style="359" customWidth="1"/>
    <col min="14599" max="14599" width="15.5546875" style="359" customWidth="1"/>
    <col min="14600" max="14849" width="8.88671875" style="359"/>
    <col min="14850" max="14850" width="7.33203125" style="359" customWidth="1"/>
    <col min="14851" max="14851" width="8.88671875" style="359"/>
    <col min="14852" max="14852" width="16.5546875" style="359" bestFit="1" customWidth="1"/>
    <col min="14853" max="14853" width="15" style="359" bestFit="1" customWidth="1"/>
    <col min="14854" max="14854" width="16.5546875" style="359" customWidth="1"/>
    <col min="14855" max="14855" width="15.5546875" style="359" customWidth="1"/>
    <col min="14856" max="15105" width="8.88671875" style="359"/>
    <col min="15106" max="15106" width="7.33203125" style="359" customWidth="1"/>
    <col min="15107" max="15107" width="8.88671875" style="359"/>
    <col min="15108" max="15108" width="16.5546875" style="359" bestFit="1" customWidth="1"/>
    <col min="15109" max="15109" width="15" style="359" bestFit="1" customWidth="1"/>
    <col min="15110" max="15110" width="16.5546875" style="359" customWidth="1"/>
    <col min="15111" max="15111" width="15.5546875" style="359" customWidth="1"/>
    <col min="15112" max="15361" width="8.88671875" style="359"/>
    <col min="15362" max="15362" width="7.33203125" style="359" customWidth="1"/>
    <col min="15363" max="15363" width="8.88671875" style="359"/>
    <col min="15364" max="15364" width="16.5546875" style="359" bestFit="1" customWidth="1"/>
    <col min="15365" max="15365" width="15" style="359" bestFit="1" customWidth="1"/>
    <col min="15366" max="15366" width="16.5546875" style="359" customWidth="1"/>
    <col min="15367" max="15367" width="15.5546875" style="359" customWidth="1"/>
    <col min="15368" max="15617" width="8.88671875" style="359"/>
    <col min="15618" max="15618" width="7.33203125" style="359" customWidth="1"/>
    <col min="15619" max="15619" width="8.88671875" style="359"/>
    <col min="15620" max="15620" width="16.5546875" style="359" bestFit="1" customWidth="1"/>
    <col min="15621" max="15621" width="15" style="359" bestFit="1" customWidth="1"/>
    <col min="15622" max="15622" width="16.5546875" style="359" customWidth="1"/>
    <col min="15623" max="15623" width="15.5546875" style="359" customWidth="1"/>
    <col min="15624" max="15873" width="8.88671875" style="359"/>
    <col min="15874" max="15874" width="7.33203125" style="359" customWidth="1"/>
    <col min="15875" max="15875" width="8.88671875" style="359"/>
    <col min="15876" max="15876" width="16.5546875" style="359" bestFit="1" customWidth="1"/>
    <col min="15877" max="15877" width="15" style="359" bestFit="1" customWidth="1"/>
    <col min="15878" max="15878" width="16.5546875" style="359" customWidth="1"/>
    <col min="15879" max="15879" width="15.5546875" style="359" customWidth="1"/>
    <col min="15880" max="16129" width="8.88671875" style="359"/>
    <col min="16130" max="16130" width="7.33203125" style="359" customWidth="1"/>
    <col min="16131" max="16131" width="8.88671875" style="359"/>
    <col min="16132" max="16132" width="16.5546875" style="359" bestFit="1" customWidth="1"/>
    <col min="16133" max="16133" width="15" style="359" bestFit="1" customWidth="1"/>
    <col min="16134" max="16134" width="16.5546875" style="359" customWidth="1"/>
    <col min="16135" max="16135" width="15.5546875" style="359" customWidth="1"/>
    <col min="16136" max="16384" width="8.88671875" style="359"/>
  </cols>
  <sheetData>
    <row r="1" spans="1:7">
      <c r="A1" s="362" t="s">
        <v>292</v>
      </c>
    </row>
    <row r="3" spans="1:7" ht="21">
      <c r="A3" s="1001" t="s">
        <v>257</v>
      </c>
      <c r="B3" s="1001"/>
      <c r="C3" s="1001"/>
      <c r="D3" s="1001"/>
      <c r="E3" s="1001"/>
      <c r="F3" s="1001"/>
      <c r="G3" s="1001"/>
    </row>
    <row r="4" spans="1:7" ht="15.6">
      <c r="A4" s="1002" t="s">
        <v>258</v>
      </c>
      <c r="B4" s="1002"/>
      <c r="C4" s="1002"/>
      <c r="D4" s="1002"/>
      <c r="E4" s="1002"/>
      <c r="F4" s="1002"/>
      <c r="G4" s="1002"/>
    </row>
    <row r="7" spans="1:7">
      <c r="C7" s="359" t="s">
        <v>293</v>
      </c>
    </row>
    <row r="9" spans="1:7">
      <c r="B9" s="359" t="s">
        <v>260</v>
      </c>
      <c r="C9" s="359">
        <v>60</v>
      </c>
      <c r="D9" s="364">
        <v>164205616</v>
      </c>
      <c r="E9" s="364">
        <v>84805.119999999995</v>
      </c>
      <c r="F9" s="370"/>
      <c r="G9" s="370"/>
    </row>
    <row r="10" spans="1:7">
      <c r="B10" s="359" t="s">
        <v>260</v>
      </c>
      <c r="C10" s="359">
        <v>360</v>
      </c>
      <c r="D10" s="370">
        <v>71395212</v>
      </c>
      <c r="E10" s="364">
        <v>36872.550000000003</v>
      </c>
    </row>
    <row r="11" spans="1:7">
      <c r="B11" s="359" t="s">
        <v>260</v>
      </c>
      <c r="C11" s="359">
        <v>390</v>
      </c>
      <c r="D11" s="370">
        <v>137311578</v>
      </c>
      <c r="E11" s="364">
        <v>70915.509999999995</v>
      </c>
    </row>
    <row r="12" spans="1:7">
      <c r="B12" s="359" t="s">
        <v>260</v>
      </c>
      <c r="C12" s="359">
        <v>430</v>
      </c>
      <c r="D12" s="370">
        <v>73078172</v>
      </c>
      <c r="E12" s="364">
        <v>37741.730000000003</v>
      </c>
    </row>
    <row r="13" spans="1:7">
      <c r="B13" s="359" t="s">
        <v>260</v>
      </c>
      <c r="C13" s="359">
        <v>530</v>
      </c>
      <c r="D13" s="370">
        <v>38386324</v>
      </c>
      <c r="E13" s="364">
        <v>19824.88</v>
      </c>
    </row>
    <row r="14" spans="1:7">
      <c r="B14" s="359" t="s">
        <v>260</v>
      </c>
      <c r="C14" s="359">
        <v>590</v>
      </c>
      <c r="D14" s="370">
        <v>102661812</v>
      </c>
      <c r="E14" s="364">
        <v>53020.4</v>
      </c>
    </row>
    <row r="15" spans="1:7">
      <c r="B15" s="359" t="s">
        <v>260</v>
      </c>
      <c r="C15" s="359">
        <v>620</v>
      </c>
      <c r="D15" s="370">
        <v>33574152</v>
      </c>
      <c r="E15" s="364">
        <v>17339.599999999999</v>
      </c>
    </row>
    <row r="16" spans="1:7">
      <c r="B16" s="359" t="s">
        <v>260</v>
      </c>
      <c r="C16" s="359">
        <v>640</v>
      </c>
      <c r="D16" s="370">
        <v>59290572</v>
      </c>
      <c r="E16" s="364">
        <v>30621.02</v>
      </c>
    </row>
    <row r="17" spans="2:5">
      <c r="B17" s="359" t="s">
        <v>260</v>
      </c>
      <c r="C17" s="359">
        <v>680</v>
      </c>
      <c r="D17" s="370">
        <v>65859600</v>
      </c>
      <c r="E17" s="364">
        <v>34013.64</v>
      </c>
    </row>
    <row r="18" spans="2:5">
      <c r="B18" s="359" t="s">
        <v>260</v>
      </c>
      <c r="C18" s="359">
        <v>780</v>
      </c>
      <c r="D18" s="370">
        <v>41664796</v>
      </c>
      <c r="E18" s="364">
        <v>21518.07</v>
      </c>
    </row>
    <row r="19" spans="2:5">
      <c r="B19" s="359" t="s">
        <v>260</v>
      </c>
      <c r="C19" s="359">
        <v>840</v>
      </c>
      <c r="D19" s="370">
        <v>34614272</v>
      </c>
      <c r="E19" s="364">
        <v>17876.78</v>
      </c>
    </row>
    <row r="20" spans="2:5">
      <c r="B20" s="359" t="s">
        <v>260</v>
      </c>
      <c r="C20" s="359">
        <v>980</v>
      </c>
      <c r="D20" s="370">
        <v>34180836</v>
      </c>
      <c r="E20" s="364">
        <v>17652.93</v>
      </c>
    </row>
    <row r="21" spans="2:5">
      <c r="B21" s="359" t="s">
        <v>260</v>
      </c>
      <c r="C21" s="359">
        <v>1030</v>
      </c>
      <c r="D21" s="370">
        <v>58999906</v>
      </c>
      <c r="E21" s="364">
        <v>30470.91</v>
      </c>
    </row>
    <row r="22" spans="2:5">
      <c r="B22" s="359" t="s">
        <v>260</v>
      </c>
      <c r="C22" s="359">
        <v>1080</v>
      </c>
      <c r="D22" s="370">
        <v>33660396</v>
      </c>
      <c r="E22" s="364">
        <v>17384.14</v>
      </c>
    </row>
    <row r="23" spans="2:5">
      <c r="B23" s="359" t="s">
        <v>260</v>
      </c>
      <c r="C23" s="359">
        <v>1140</v>
      </c>
      <c r="D23" s="370">
        <v>31930680</v>
      </c>
      <c r="E23" s="364">
        <v>16490.82</v>
      </c>
    </row>
    <row r="24" spans="2:5">
      <c r="B24" s="359" t="s">
        <v>260</v>
      </c>
      <c r="C24" s="359">
        <v>1400</v>
      </c>
      <c r="D24" s="370"/>
      <c r="E24" s="364">
        <v>0</v>
      </c>
    </row>
    <row r="25" spans="2:5">
      <c r="B25" s="359" t="s">
        <v>260</v>
      </c>
      <c r="C25" s="359">
        <v>1410</v>
      </c>
      <c r="D25" s="370">
        <v>41195048</v>
      </c>
      <c r="E25" s="364">
        <v>21275.47</v>
      </c>
    </row>
    <row r="26" spans="2:5">
      <c r="B26" s="359" t="s">
        <v>260</v>
      </c>
      <c r="C26" s="359">
        <v>68</v>
      </c>
      <c r="D26" s="370">
        <v>8427870</v>
      </c>
      <c r="E26" s="364">
        <v>4352.63</v>
      </c>
    </row>
    <row r="27" spans="2:5">
      <c r="B27" s="359" t="s">
        <v>260</v>
      </c>
      <c r="C27" s="359">
        <v>365</v>
      </c>
      <c r="D27" s="370"/>
      <c r="E27" s="364">
        <v>0</v>
      </c>
    </row>
    <row r="28" spans="2:5">
      <c r="B28" s="359" t="s">
        <v>260</v>
      </c>
      <c r="C28" s="359">
        <v>394</v>
      </c>
      <c r="D28" s="370">
        <v>24230160</v>
      </c>
      <c r="E28" s="364">
        <v>12513.83</v>
      </c>
    </row>
    <row r="29" spans="2:5">
      <c r="B29" s="359" t="s">
        <v>260</v>
      </c>
      <c r="C29" s="359">
        <v>436</v>
      </c>
      <c r="D29" s="371">
        <v>7189521</v>
      </c>
      <c r="E29" s="364">
        <v>3713.08</v>
      </c>
    </row>
    <row r="30" spans="2:5">
      <c r="B30" s="359" t="s">
        <v>260</v>
      </c>
      <c r="C30" s="359">
        <v>535</v>
      </c>
      <c r="D30" s="371">
        <v>2888448</v>
      </c>
      <c r="E30" s="364">
        <v>1491.76</v>
      </c>
    </row>
    <row r="31" spans="2:5">
      <c r="B31" s="359" t="s">
        <v>260</v>
      </c>
      <c r="C31" s="359">
        <v>596</v>
      </c>
      <c r="D31" s="370">
        <v>8395480</v>
      </c>
      <c r="E31" s="364">
        <v>4335.8999999999996</v>
      </c>
    </row>
    <row r="32" spans="2:5">
      <c r="B32" s="359" t="s">
        <v>260</v>
      </c>
      <c r="C32" s="359">
        <v>649</v>
      </c>
      <c r="D32" s="371">
        <v>2408424</v>
      </c>
      <c r="E32" s="364">
        <v>1243.8499999999999</v>
      </c>
    </row>
    <row r="33" spans="2:6">
      <c r="B33" s="359" t="s">
        <v>260</v>
      </c>
      <c r="C33" s="359">
        <v>785</v>
      </c>
      <c r="D33" s="371">
        <v>3069791</v>
      </c>
      <c r="E33" s="364">
        <v>1585.41</v>
      </c>
    </row>
    <row r="34" spans="2:6">
      <c r="B34" s="359" t="s">
        <v>260</v>
      </c>
      <c r="C34" s="359">
        <v>854</v>
      </c>
      <c r="D34" s="371">
        <v>1926552</v>
      </c>
      <c r="E34" s="364">
        <v>994.98</v>
      </c>
    </row>
    <row r="35" spans="2:6">
      <c r="B35" s="359" t="s">
        <v>260</v>
      </c>
      <c r="C35" s="359">
        <v>985</v>
      </c>
      <c r="D35" s="371">
        <v>6660336</v>
      </c>
      <c r="E35" s="364">
        <v>3439.78</v>
      </c>
    </row>
    <row r="36" spans="2:6">
      <c r="B36" s="359" t="s">
        <v>260</v>
      </c>
      <c r="C36" s="359">
        <v>1037</v>
      </c>
      <c r="D36" s="371">
        <v>7585796</v>
      </c>
      <c r="E36" s="364">
        <v>3917.74</v>
      </c>
    </row>
    <row r="37" spans="2:6">
      <c r="B37" s="359" t="s">
        <v>260</v>
      </c>
      <c r="C37" s="359">
        <v>1083</v>
      </c>
      <c r="D37" s="371">
        <v>2317842</v>
      </c>
      <c r="E37" s="364">
        <v>1197.07</v>
      </c>
    </row>
    <row r="38" spans="2:6">
      <c r="B38" s="359" t="s">
        <v>260</v>
      </c>
      <c r="C38" s="359">
        <v>1144</v>
      </c>
      <c r="D38" s="371">
        <v>962808</v>
      </c>
      <c r="E38" s="364">
        <v>497.25</v>
      </c>
    </row>
    <row r="39" spans="2:6">
      <c r="B39" s="359" t="s">
        <v>260</v>
      </c>
      <c r="C39" s="359">
        <v>1405</v>
      </c>
      <c r="D39" s="370">
        <v>4033730</v>
      </c>
      <c r="E39" s="364">
        <v>2083.25</v>
      </c>
    </row>
    <row r="40" spans="2:6">
      <c r="D40" s="370">
        <f>+SUM(D9:D39)</f>
        <v>1102105730</v>
      </c>
      <c r="E40" s="370">
        <f>+SUM(E9:E39)</f>
        <v>569190.1</v>
      </c>
      <c r="F40" s="364"/>
    </row>
    <row r="41" spans="2:6">
      <c r="D41" s="370"/>
    </row>
    <row r="42" spans="2:6">
      <c r="D42" s="370">
        <f>+E40*1.1%</f>
        <v>6261.0911000000006</v>
      </c>
      <c r="E42" s="366">
        <v>1.0999999999999999E-2</v>
      </c>
    </row>
    <row r="43" spans="2:6">
      <c r="D43" s="370"/>
      <c r="E43" s="366"/>
    </row>
    <row r="44" spans="2:6">
      <c r="D44" s="364"/>
    </row>
  </sheetData>
  <mergeCells count="2">
    <mergeCell ref="A3:G3"/>
    <mergeCell ref="A4:G4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10"/>
  <dimension ref="A1:G44"/>
  <sheetViews>
    <sheetView topLeftCell="A16" workbookViewId="0"/>
  </sheetViews>
  <sheetFormatPr defaultRowHeight="13.2"/>
  <cols>
    <col min="1" max="1" width="8.88671875" style="359"/>
    <col min="2" max="2" width="7.33203125" style="359" customWidth="1"/>
    <col min="3" max="3" width="8.88671875" style="359"/>
    <col min="4" max="4" width="16.5546875" style="359" bestFit="1" customWidth="1"/>
    <col min="5" max="5" width="15" style="359" bestFit="1" customWidth="1"/>
    <col min="6" max="6" width="16.5546875" style="359" bestFit="1" customWidth="1"/>
    <col min="7" max="257" width="8.88671875" style="359"/>
    <col min="258" max="258" width="7.33203125" style="359" customWidth="1"/>
    <col min="259" max="259" width="8.88671875" style="359"/>
    <col min="260" max="260" width="16.5546875" style="359" bestFit="1" customWidth="1"/>
    <col min="261" max="261" width="15" style="359" bestFit="1" customWidth="1"/>
    <col min="262" max="262" width="16.5546875" style="359" bestFit="1" customWidth="1"/>
    <col min="263" max="513" width="8.88671875" style="359"/>
    <col min="514" max="514" width="7.33203125" style="359" customWidth="1"/>
    <col min="515" max="515" width="8.88671875" style="359"/>
    <col min="516" max="516" width="16.5546875" style="359" bestFit="1" customWidth="1"/>
    <col min="517" max="517" width="15" style="359" bestFit="1" customWidth="1"/>
    <col min="518" max="518" width="16.5546875" style="359" bestFit="1" customWidth="1"/>
    <col min="519" max="769" width="8.88671875" style="359"/>
    <col min="770" max="770" width="7.33203125" style="359" customWidth="1"/>
    <col min="771" max="771" width="8.88671875" style="359"/>
    <col min="772" max="772" width="16.5546875" style="359" bestFit="1" customWidth="1"/>
    <col min="773" max="773" width="15" style="359" bestFit="1" customWidth="1"/>
    <col min="774" max="774" width="16.5546875" style="359" bestFit="1" customWidth="1"/>
    <col min="775" max="1025" width="8.88671875" style="359"/>
    <col min="1026" max="1026" width="7.33203125" style="359" customWidth="1"/>
    <col min="1027" max="1027" width="8.88671875" style="359"/>
    <col min="1028" max="1028" width="16.5546875" style="359" bestFit="1" customWidth="1"/>
    <col min="1029" max="1029" width="15" style="359" bestFit="1" customWidth="1"/>
    <col min="1030" max="1030" width="16.5546875" style="359" bestFit="1" customWidth="1"/>
    <col min="1031" max="1281" width="8.88671875" style="359"/>
    <col min="1282" max="1282" width="7.33203125" style="359" customWidth="1"/>
    <col min="1283" max="1283" width="8.88671875" style="359"/>
    <col min="1284" max="1284" width="16.5546875" style="359" bestFit="1" customWidth="1"/>
    <col min="1285" max="1285" width="15" style="359" bestFit="1" customWidth="1"/>
    <col min="1286" max="1286" width="16.5546875" style="359" bestFit="1" customWidth="1"/>
    <col min="1287" max="1537" width="8.88671875" style="359"/>
    <col min="1538" max="1538" width="7.33203125" style="359" customWidth="1"/>
    <col min="1539" max="1539" width="8.88671875" style="359"/>
    <col min="1540" max="1540" width="16.5546875" style="359" bestFit="1" customWidth="1"/>
    <col min="1541" max="1541" width="15" style="359" bestFit="1" customWidth="1"/>
    <col min="1542" max="1542" width="16.5546875" style="359" bestFit="1" customWidth="1"/>
    <col min="1543" max="1793" width="8.88671875" style="359"/>
    <col min="1794" max="1794" width="7.33203125" style="359" customWidth="1"/>
    <col min="1795" max="1795" width="8.88671875" style="359"/>
    <col min="1796" max="1796" width="16.5546875" style="359" bestFit="1" customWidth="1"/>
    <col min="1797" max="1797" width="15" style="359" bestFit="1" customWidth="1"/>
    <col min="1798" max="1798" width="16.5546875" style="359" bestFit="1" customWidth="1"/>
    <col min="1799" max="2049" width="8.88671875" style="359"/>
    <col min="2050" max="2050" width="7.33203125" style="359" customWidth="1"/>
    <col min="2051" max="2051" width="8.88671875" style="359"/>
    <col min="2052" max="2052" width="16.5546875" style="359" bestFit="1" customWidth="1"/>
    <col min="2053" max="2053" width="15" style="359" bestFit="1" customWidth="1"/>
    <col min="2054" max="2054" width="16.5546875" style="359" bestFit="1" customWidth="1"/>
    <col min="2055" max="2305" width="8.88671875" style="359"/>
    <col min="2306" max="2306" width="7.33203125" style="359" customWidth="1"/>
    <col min="2307" max="2307" width="8.88671875" style="359"/>
    <col min="2308" max="2308" width="16.5546875" style="359" bestFit="1" customWidth="1"/>
    <col min="2309" max="2309" width="15" style="359" bestFit="1" customWidth="1"/>
    <col min="2310" max="2310" width="16.5546875" style="359" bestFit="1" customWidth="1"/>
    <col min="2311" max="2561" width="8.88671875" style="359"/>
    <col min="2562" max="2562" width="7.33203125" style="359" customWidth="1"/>
    <col min="2563" max="2563" width="8.88671875" style="359"/>
    <col min="2564" max="2564" width="16.5546875" style="359" bestFit="1" customWidth="1"/>
    <col min="2565" max="2565" width="15" style="359" bestFit="1" customWidth="1"/>
    <col min="2566" max="2566" width="16.5546875" style="359" bestFit="1" customWidth="1"/>
    <col min="2567" max="2817" width="8.88671875" style="359"/>
    <col min="2818" max="2818" width="7.33203125" style="359" customWidth="1"/>
    <col min="2819" max="2819" width="8.88671875" style="359"/>
    <col min="2820" max="2820" width="16.5546875" style="359" bestFit="1" customWidth="1"/>
    <col min="2821" max="2821" width="15" style="359" bestFit="1" customWidth="1"/>
    <col min="2822" max="2822" width="16.5546875" style="359" bestFit="1" customWidth="1"/>
    <col min="2823" max="3073" width="8.88671875" style="359"/>
    <col min="3074" max="3074" width="7.33203125" style="359" customWidth="1"/>
    <col min="3075" max="3075" width="8.88671875" style="359"/>
    <col min="3076" max="3076" width="16.5546875" style="359" bestFit="1" customWidth="1"/>
    <col min="3077" max="3077" width="15" style="359" bestFit="1" customWidth="1"/>
    <col min="3078" max="3078" width="16.5546875" style="359" bestFit="1" customWidth="1"/>
    <col min="3079" max="3329" width="8.88671875" style="359"/>
    <col min="3330" max="3330" width="7.33203125" style="359" customWidth="1"/>
    <col min="3331" max="3331" width="8.88671875" style="359"/>
    <col min="3332" max="3332" width="16.5546875" style="359" bestFit="1" customWidth="1"/>
    <col min="3333" max="3333" width="15" style="359" bestFit="1" customWidth="1"/>
    <col min="3334" max="3334" width="16.5546875" style="359" bestFit="1" customWidth="1"/>
    <col min="3335" max="3585" width="8.88671875" style="359"/>
    <col min="3586" max="3586" width="7.33203125" style="359" customWidth="1"/>
    <col min="3587" max="3587" width="8.88671875" style="359"/>
    <col min="3588" max="3588" width="16.5546875" style="359" bestFit="1" customWidth="1"/>
    <col min="3589" max="3589" width="15" style="359" bestFit="1" customWidth="1"/>
    <col min="3590" max="3590" width="16.5546875" style="359" bestFit="1" customWidth="1"/>
    <col min="3591" max="3841" width="8.88671875" style="359"/>
    <col min="3842" max="3842" width="7.33203125" style="359" customWidth="1"/>
    <col min="3843" max="3843" width="8.88671875" style="359"/>
    <col min="3844" max="3844" width="16.5546875" style="359" bestFit="1" customWidth="1"/>
    <col min="3845" max="3845" width="15" style="359" bestFit="1" customWidth="1"/>
    <col min="3846" max="3846" width="16.5546875" style="359" bestFit="1" customWidth="1"/>
    <col min="3847" max="4097" width="8.88671875" style="359"/>
    <col min="4098" max="4098" width="7.33203125" style="359" customWidth="1"/>
    <col min="4099" max="4099" width="8.88671875" style="359"/>
    <col min="4100" max="4100" width="16.5546875" style="359" bestFit="1" customWidth="1"/>
    <col min="4101" max="4101" width="15" style="359" bestFit="1" customWidth="1"/>
    <col min="4102" max="4102" width="16.5546875" style="359" bestFit="1" customWidth="1"/>
    <col min="4103" max="4353" width="8.88671875" style="359"/>
    <col min="4354" max="4354" width="7.33203125" style="359" customWidth="1"/>
    <col min="4355" max="4355" width="8.88671875" style="359"/>
    <col min="4356" max="4356" width="16.5546875" style="359" bestFit="1" customWidth="1"/>
    <col min="4357" max="4357" width="15" style="359" bestFit="1" customWidth="1"/>
    <col min="4358" max="4358" width="16.5546875" style="359" bestFit="1" customWidth="1"/>
    <col min="4359" max="4609" width="8.88671875" style="359"/>
    <col min="4610" max="4610" width="7.33203125" style="359" customWidth="1"/>
    <col min="4611" max="4611" width="8.88671875" style="359"/>
    <col min="4612" max="4612" width="16.5546875" style="359" bestFit="1" customWidth="1"/>
    <col min="4613" max="4613" width="15" style="359" bestFit="1" customWidth="1"/>
    <col min="4614" max="4614" width="16.5546875" style="359" bestFit="1" customWidth="1"/>
    <col min="4615" max="4865" width="8.88671875" style="359"/>
    <col min="4866" max="4866" width="7.33203125" style="359" customWidth="1"/>
    <col min="4867" max="4867" width="8.88671875" style="359"/>
    <col min="4868" max="4868" width="16.5546875" style="359" bestFit="1" customWidth="1"/>
    <col min="4869" max="4869" width="15" style="359" bestFit="1" customWidth="1"/>
    <col min="4870" max="4870" width="16.5546875" style="359" bestFit="1" customWidth="1"/>
    <col min="4871" max="5121" width="8.88671875" style="359"/>
    <col min="5122" max="5122" width="7.33203125" style="359" customWidth="1"/>
    <col min="5123" max="5123" width="8.88671875" style="359"/>
    <col min="5124" max="5124" width="16.5546875" style="359" bestFit="1" customWidth="1"/>
    <col min="5125" max="5125" width="15" style="359" bestFit="1" customWidth="1"/>
    <col min="5126" max="5126" width="16.5546875" style="359" bestFit="1" customWidth="1"/>
    <col min="5127" max="5377" width="8.88671875" style="359"/>
    <col min="5378" max="5378" width="7.33203125" style="359" customWidth="1"/>
    <col min="5379" max="5379" width="8.88671875" style="359"/>
    <col min="5380" max="5380" width="16.5546875" style="359" bestFit="1" customWidth="1"/>
    <col min="5381" max="5381" width="15" style="359" bestFit="1" customWidth="1"/>
    <col min="5382" max="5382" width="16.5546875" style="359" bestFit="1" customWidth="1"/>
    <col min="5383" max="5633" width="8.88671875" style="359"/>
    <col min="5634" max="5634" width="7.33203125" style="359" customWidth="1"/>
    <col min="5635" max="5635" width="8.88671875" style="359"/>
    <col min="5636" max="5636" width="16.5546875" style="359" bestFit="1" customWidth="1"/>
    <col min="5637" max="5637" width="15" style="359" bestFit="1" customWidth="1"/>
    <col min="5638" max="5638" width="16.5546875" style="359" bestFit="1" customWidth="1"/>
    <col min="5639" max="5889" width="8.88671875" style="359"/>
    <col min="5890" max="5890" width="7.33203125" style="359" customWidth="1"/>
    <col min="5891" max="5891" width="8.88671875" style="359"/>
    <col min="5892" max="5892" width="16.5546875" style="359" bestFit="1" customWidth="1"/>
    <col min="5893" max="5893" width="15" style="359" bestFit="1" customWidth="1"/>
    <col min="5894" max="5894" width="16.5546875" style="359" bestFit="1" customWidth="1"/>
    <col min="5895" max="6145" width="8.88671875" style="359"/>
    <col min="6146" max="6146" width="7.33203125" style="359" customWidth="1"/>
    <col min="6147" max="6147" width="8.88671875" style="359"/>
    <col min="6148" max="6148" width="16.5546875" style="359" bestFit="1" customWidth="1"/>
    <col min="6149" max="6149" width="15" style="359" bestFit="1" customWidth="1"/>
    <col min="6150" max="6150" width="16.5546875" style="359" bestFit="1" customWidth="1"/>
    <col min="6151" max="6401" width="8.88671875" style="359"/>
    <col min="6402" max="6402" width="7.33203125" style="359" customWidth="1"/>
    <col min="6403" max="6403" width="8.88671875" style="359"/>
    <col min="6404" max="6404" width="16.5546875" style="359" bestFit="1" customWidth="1"/>
    <col min="6405" max="6405" width="15" style="359" bestFit="1" customWidth="1"/>
    <col min="6406" max="6406" width="16.5546875" style="359" bestFit="1" customWidth="1"/>
    <col min="6407" max="6657" width="8.88671875" style="359"/>
    <col min="6658" max="6658" width="7.33203125" style="359" customWidth="1"/>
    <col min="6659" max="6659" width="8.88671875" style="359"/>
    <col min="6660" max="6660" width="16.5546875" style="359" bestFit="1" customWidth="1"/>
    <col min="6661" max="6661" width="15" style="359" bestFit="1" customWidth="1"/>
    <col min="6662" max="6662" width="16.5546875" style="359" bestFit="1" customWidth="1"/>
    <col min="6663" max="6913" width="8.88671875" style="359"/>
    <col min="6914" max="6914" width="7.33203125" style="359" customWidth="1"/>
    <col min="6915" max="6915" width="8.88671875" style="359"/>
    <col min="6916" max="6916" width="16.5546875" style="359" bestFit="1" customWidth="1"/>
    <col min="6917" max="6917" width="15" style="359" bestFit="1" customWidth="1"/>
    <col min="6918" max="6918" width="16.5546875" style="359" bestFit="1" customWidth="1"/>
    <col min="6919" max="7169" width="8.88671875" style="359"/>
    <col min="7170" max="7170" width="7.33203125" style="359" customWidth="1"/>
    <col min="7171" max="7171" width="8.88671875" style="359"/>
    <col min="7172" max="7172" width="16.5546875" style="359" bestFit="1" customWidth="1"/>
    <col min="7173" max="7173" width="15" style="359" bestFit="1" customWidth="1"/>
    <col min="7174" max="7174" width="16.5546875" style="359" bestFit="1" customWidth="1"/>
    <col min="7175" max="7425" width="8.88671875" style="359"/>
    <col min="7426" max="7426" width="7.33203125" style="359" customWidth="1"/>
    <col min="7427" max="7427" width="8.88671875" style="359"/>
    <col min="7428" max="7428" width="16.5546875" style="359" bestFit="1" customWidth="1"/>
    <col min="7429" max="7429" width="15" style="359" bestFit="1" customWidth="1"/>
    <col min="7430" max="7430" width="16.5546875" style="359" bestFit="1" customWidth="1"/>
    <col min="7431" max="7681" width="8.88671875" style="359"/>
    <col min="7682" max="7682" width="7.33203125" style="359" customWidth="1"/>
    <col min="7683" max="7683" width="8.88671875" style="359"/>
    <col min="7684" max="7684" width="16.5546875" style="359" bestFit="1" customWidth="1"/>
    <col min="7685" max="7685" width="15" style="359" bestFit="1" customWidth="1"/>
    <col min="7686" max="7686" width="16.5546875" style="359" bestFit="1" customWidth="1"/>
    <col min="7687" max="7937" width="8.88671875" style="359"/>
    <col min="7938" max="7938" width="7.33203125" style="359" customWidth="1"/>
    <col min="7939" max="7939" width="8.88671875" style="359"/>
    <col min="7940" max="7940" width="16.5546875" style="359" bestFit="1" customWidth="1"/>
    <col min="7941" max="7941" width="15" style="359" bestFit="1" customWidth="1"/>
    <col min="7942" max="7942" width="16.5546875" style="359" bestFit="1" customWidth="1"/>
    <col min="7943" max="8193" width="8.88671875" style="359"/>
    <col min="8194" max="8194" width="7.33203125" style="359" customWidth="1"/>
    <col min="8195" max="8195" width="8.88671875" style="359"/>
    <col min="8196" max="8196" width="16.5546875" style="359" bestFit="1" customWidth="1"/>
    <col min="8197" max="8197" width="15" style="359" bestFit="1" customWidth="1"/>
    <col min="8198" max="8198" width="16.5546875" style="359" bestFit="1" customWidth="1"/>
    <col min="8199" max="8449" width="8.88671875" style="359"/>
    <col min="8450" max="8450" width="7.33203125" style="359" customWidth="1"/>
    <col min="8451" max="8451" width="8.88671875" style="359"/>
    <col min="8452" max="8452" width="16.5546875" style="359" bestFit="1" customWidth="1"/>
    <col min="8453" max="8453" width="15" style="359" bestFit="1" customWidth="1"/>
    <col min="8454" max="8454" width="16.5546875" style="359" bestFit="1" customWidth="1"/>
    <col min="8455" max="8705" width="8.88671875" style="359"/>
    <col min="8706" max="8706" width="7.33203125" style="359" customWidth="1"/>
    <col min="8707" max="8707" width="8.88671875" style="359"/>
    <col min="8708" max="8708" width="16.5546875" style="359" bestFit="1" customWidth="1"/>
    <col min="8709" max="8709" width="15" style="359" bestFit="1" customWidth="1"/>
    <col min="8710" max="8710" width="16.5546875" style="359" bestFit="1" customWidth="1"/>
    <col min="8711" max="8961" width="8.88671875" style="359"/>
    <col min="8962" max="8962" width="7.33203125" style="359" customWidth="1"/>
    <col min="8963" max="8963" width="8.88671875" style="359"/>
    <col min="8964" max="8964" width="16.5546875" style="359" bestFit="1" customWidth="1"/>
    <col min="8965" max="8965" width="15" style="359" bestFit="1" customWidth="1"/>
    <col min="8966" max="8966" width="16.5546875" style="359" bestFit="1" customWidth="1"/>
    <col min="8967" max="9217" width="8.88671875" style="359"/>
    <col min="9218" max="9218" width="7.33203125" style="359" customWidth="1"/>
    <col min="9219" max="9219" width="8.88671875" style="359"/>
    <col min="9220" max="9220" width="16.5546875" style="359" bestFit="1" customWidth="1"/>
    <col min="9221" max="9221" width="15" style="359" bestFit="1" customWidth="1"/>
    <col min="9222" max="9222" width="16.5546875" style="359" bestFit="1" customWidth="1"/>
    <col min="9223" max="9473" width="8.88671875" style="359"/>
    <col min="9474" max="9474" width="7.33203125" style="359" customWidth="1"/>
    <col min="9475" max="9475" width="8.88671875" style="359"/>
    <col min="9476" max="9476" width="16.5546875" style="359" bestFit="1" customWidth="1"/>
    <col min="9477" max="9477" width="15" style="359" bestFit="1" customWidth="1"/>
    <col min="9478" max="9478" width="16.5546875" style="359" bestFit="1" customWidth="1"/>
    <col min="9479" max="9729" width="8.88671875" style="359"/>
    <col min="9730" max="9730" width="7.33203125" style="359" customWidth="1"/>
    <col min="9731" max="9731" width="8.88671875" style="359"/>
    <col min="9732" max="9732" width="16.5546875" style="359" bestFit="1" customWidth="1"/>
    <col min="9733" max="9733" width="15" style="359" bestFit="1" customWidth="1"/>
    <col min="9734" max="9734" width="16.5546875" style="359" bestFit="1" customWidth="1"/>
    <col min="9735" max="9985" width="8.88671875" style="359"/>
    <col min="9986" max="9986" width="7.33203125" style="359" customWidth="1"/>
    <col min="9987" max="9987" width="8.88671875" style="359"/>
    <col min="9988" max="9988" width="16.5546875" style="359" bestFit="1" customWidth="1"/>
    <col min="9989" max="9989" width="15" style="359" bestFit="1" customWidth="1"/>
    <col min="9990" max="9990" width="16.5546875" style="359" bestFit="1" customWidth="1"/>
    <col min="9991" max="10241" width="8.88671875" style="359"/>
    <col min="10242" max="10242" width="7.33203125" style="359" customWidth="1"/>
    <col min="10243" max="10243" width="8.88671875" style="359"/>
    <col min="10244" max="10244" width="16.5546875" style="359" bestFit="1" customWidth="1"/>
    <col min="10245" max="10245" width="15" style="359" bestFit="1" customWidth="1"/>
    <col min="10246" max="10246" width="16.5546875" style="359" bestFit="1" customWidth="1"/>
    <col min="10247" max="10497" width="8.88671875" style="359"/>
    <col min="10498" max="10498" width="7.33203125" style="359" customWidth="1"/>
    <col min="10499" max="10499" width="8.88671875" style="359"/>
    <col min="10500" max="10500" width="16.5546875" style="359" bestFit="1" customWidth="1"/>
    <col min="10501" max="10501" width="15" style="359" bestFit="1" customWidth="1"/>
    <col min="10502" max="10502" width="16.5546875" style="359" bestFit="1" customWidth="1"/>
    <col min="10503" max="10753" width="8.88671875" style="359"/>
    <col min="10754" max="10754" width="7.33203125" style="359" customWidth="1"/>
    <col min="10755" max="10755" width="8.88671875" style="359"/>
    <col min="10756" max="10756" width="16.5546875" style="359" bestFit="1" customWidth="1"/>
    <col min="10757" max="10757" width="15" style="359" bestFit="1" customWidth="1"/>
    <col min="10758" max="10758" width="16.5546875" style="359" bestFit="1" customWidth="1"/>
    <col min="10759" max="11009" width="8.88671875" style="359"/>
    <col min="11010" max="11010" width="7.33203125" style="359" customWidth="1"/>
    <col min="11011" max="11011" width="8.88671875" style="359"/>
    <col min="11012" max="11012" width="16.5546875" style="359" bestFit="1" customWidth="1"/>
    <col min="11013" max="11013" width="15" style="359" bestFit="1" customWidth="1"/>
    <col min="11014" max="11014" width="16.5546875" style="359" bestFit="1" customWidth="1"/>
    <col min="11015" max="11265" width="8.88671875" style="359"/>
    <col min="11266" max="11266" width="7.33203125" style="359" customWidth="1"/>
    <col min="11267" max="11267" width="8.88671875" style="359"/>
    <col min="11268" max="11268" width="16.5546875" style="359" bestFit="1" customWidth="1"/>
    <col min="11269" max="11269" width="15" style="359" bestFit="1" customWidth="1"/>
    <col min="11270" max="11270" width="16.5546875" style="359" bestFit="1" customWidth="1"/>
    <col min="11271" max="11521" width="8.88671875" style="359"/>
    <col min="11522" max="11522" width="7.33203125" style="359" customWidth="1"/>
    <col min="11523" max="11523" width="8.88671875" style="359"/>
    <col min="11524" max="11524" width="16.5546875" style="359" bestFit="1" customWidth="1"/>
    <col min="11525" max="11525" width="15" style="359" bestFit="1" customWidth="1"/>
    <col min="11526" max="11526" width="16.5546875" style="359" bestFit="1" customWidth="1"/>
    <col min="11527" max="11777" width="8.88671875" style="359"/>
    <col min="11778" max="11778" width="7.33203125" style="359" customWidth="1"/>
    <col min="11779" max="11779" width="8.88671875" style="359"/>
    <col min="11780" max="11780" width="16.5546875" style="359" bestFit="1" customWidth="1"/>
    <col min="11781" max="11781" width="15" style="359" bestFit="1" customWidth="1"/>
    <col min="11782" max="11782" width="16.5546875" style="359" bestFit="1" customWidth="1"/>
    <col min="11783" max="12033" width="8.88671875" style="359"/>
    <col min="12034" max="12034" width="7.33203125" style="359" customWidth="1"/>
    <col min="12035" max="12035" width="8.88671875" style="359"/>
    <col min="12036" max="12036" width="16.5546875" style="359" bestFit="1" customWidth="1"/>
    <col min="12037" max="12037" width="15" style="359" bestFit="1" customWidth="1"/>
    <col min="12038" max="12038" width="16.5546875" style="359" bestFit="1" customWidth="1"/>
    <col min="12039" max="12289" width="8.88671875" style="359"/>
    <col min="12290" max="12290" width="7.33203125" style="359" customWidth="1"/>
    <col min="12291" max="12291" width="8.88671875" style="359"/>
    <col min="12292" max="12292" width="16.5546875" style="359" bestFit="1" customWidth="1"/>
    <col min="12293" max="12293" width="15" style="359" bestFit="1" customWidth="1"/>
    <col min="12294" max="12294" width="16.5546875" style="359" bestFit="1" customWidth="1"/>
    <col min="12295" max="12545" width="8.88671875" style="359"/>
    <col min="12546" max="12546" width="7.33203125" style="359" customWidth="1"/>
    <col min="12547" max="12547" width="8.88671875" style="359"/>
    <col min="12548" max="12548" width="16.5546875" style="359" bestFit="1" customWidth="1"/>
    <col min="12549" max="12549" width="15" style="359" bestFit="1" customWidth="1"/>
    <col min="12550" max="12550" width="16.5546875" style="359" bestFit="1" customWidth="1"/>
    <col min="12551" max="12801" width="8.88671875" style="359"/>
    <col min="12802" max="12802" width="7.33203125" style="359" customWidth="1"/>
    <col min="12803" max="12803" width="8.88671875" style="359"/>
    <col min="12804" max="12804" width="16.5546875" style="359" bestFit="1" customWidth="1"/>
    <col min="12805" max="12805" width="15" style="359" bestFit="1" customWidth="1"/>
    <col min="12806" max="12806" width="16.5546875" style="359" bestFit="1" customWidth="1"/>
    <col min="12807" max="13057" width="8.88671875" style="359"/>
    <col min="13058" max="13058" width="7.33203125" style="359" customWidth="1"/>
    <col min="13059" max="13059" width="8.88671875" style="359"/>
    <col min="13060" max="13060" width="16.5546875" style="359" bestFit="1" customWidth="1"/>
    <col min="13061" max="13061" width="15" style="359" bestFit="1" customWidth="1"/>
    <col min="13062" max="13062" width="16.5546875" style="359" bestFit="1" customWidth="1"/>
    <col min="13063" max="13313" width="8.88671875" style="359"/>
    <col min="13314" max="13314" width="7.33203125" style="359" customWidth="1"/>
    <col min="13315" max="13315" width="8.88671875" style="359"/>
    <col min="13316" max="13316" width="16.5546875" style="359" bestFit="1" customWidth="1"/>
    <col min="13317" max="13317" width="15" style="359" bestFit="1" customWidth="1"/>
    <col min="13318" max="13318" width="16.5546875" style="359" bestFit="1" customWidth="1"/>
    <col min="13319" max="13569" width="8.88671875" style="359"/>
    <col min="13570" max="13570" width="7.33203125" style="359" customWidth="1"/>
    <col min="13571" max="13571" width="8.88671875" style="359"/>
    <col min="13572" max="13572" width="16.5546875" style="359" bestFit="1" customWidth="1"/>
    <col min="13573" max="13573" width="15" style="359" bestFit="1" customWidth="1"/>
    <col min="13574" max="13574" width="16.5546875" style="359" bestFit="1" customWidth="1"/>
    <col min="13575" max="13825" width="8.88671875" style="359"/>
    <col min="13826" max="13826" width="7.33203125" style="359" customWidth="1"/>
    <col min="13827" max="13827" width="8.88671875" style="359"/>
    <col min="13828" max="13828" width="16.5546875" style="359" bestFit="1" customWidth="1"/>
    <col min="13829" max="13829" width="15" style="359" bestFit="1" customWidth="1"/>
    <col min="13830" max="13830" width="16.5546875" style="359" bestFit="1" customWidth="1"/>
    <col min="13831" max="14081" width="8.88671875" style="359"/>
    <col min="14082" max="14082" width="7.33203125" style="359" customWidth="1"/>
    <col min="14083" max="14083" width="8.88671875" style="359"/>
    <col min="14084" max="14084" width="16.5546875" style="359" bestFit="1" customWidth="1"/>
    <col min="14085" max="14085" width="15" style="359" bestFit="1" customWidth="1"/>
    <col min="14086" max="14086" width="16.5546875" style="359" bestFit="1" customWidth="1"/>
    <col min="14087" max="14337" width="8.88671875" style="359"/>
    <col min="14338" max="14338" width="7.33203125" style="359" customWidth="1"/>
    <col min="14339" max="14339" width="8.88671875" style="359"/>
    <col min="14340" max="14340" width="16.5546875" style="359" bestFit="1" customWidth="1"/>
    <col min="14341" max="14341" width="15" style="359" bestFit="1" customWidth="1"/>
    <col min="14342" max="14342" width="16.5546875" style="359" bestFit="1" customWidth="1"/>
    <col min="14343" max="14593" width="8.88671875" style="359"/>
    <col min="14594" max="14594" width="7.33203125" style="359" customWidth="1"/>
    <col min="14595" max="14595" width="8.88671875" style="359"/>
    <col min="14596" max="14596" width="16.5546875" style="359" bestFit="1" customWidth="1"/>
    <col min="14597" max="14597" width="15" style="359" bestFit="1" customWidth="1"/>
    <col min="14598" max="14598" width="16.5546875" style="359" bestFit="1" customWidth="1"/>
    <col min="14599" max="14849" width="8.88671875" style="359"/>
    <col min="14850" max="14850" width="7.33203125" style="359" customWidth="1"/>
    <col min="14851" max="14851" width="8.88671875" style="359"/>
    <col min="14852" max="14852" width="16.5546875" style="359" bestFit="1" customWidth="1"/>
    <col min="14853" max="14853" width="15" style="359" bestFit="1" customWidth="1"/>
    <col min="14854" max="14854" width="16.5546875" style="359" bestFit="1" customWidth="1"/>
    <col min="14855" max="15105" width="8.88671875" style="359"/>
    <col min="15106" max="15106" width="7.33203125" style="359" customWidth="1"/>
    <col min="15107" max="15107" width="8.88671875" style="359"/>
    <col min="15108" max="15108" width="16.5546875" style="359" bestFit="1" customWidth="1"/>
    <col min="15109" max="15109" width="15" style="359" bestFit="1" customWidth="1"/>
    <col min="15110" max="15110" width="16.5546875" style="359" bestFit="1" customWidth="1"/>
    <col min="15111" max="15361" width="8.88671875" style="359"/>
    <col min="15362" max="15362" width="7.33203125" style="359" customWidth="1"/>
    <col min="15363" max="15363" width="8.88671875" style="359"/>
    <col min="15364" max="15364" width="16.5546875" style="359" bestFit="1" customWidth="1"/>
    <col min="15365" max="15365" width="15" style="359" bestFit="1" customWidth="1"/>
    <col min="15366" max="15366" width="16.5546875" style="359" bestFit="1" customWidth="1"/>
    <col min="15367" max="15617" width="8.88671875" style="359"/>
    <col min="15618" max="15618" width="7.33203125" style="359" customWidth="1"/>
    <col min="15619" max="15619" width="8.88671875" style="359"/>
    <col min="15620" max="15620" width="16.5546875" style="359" bestFit="1" customWidth="1"/>
    <col min="15621" max="15621" width="15" style="359" bestFit="1" customWidth="1"/>
    <col min="15622" max="15622" width="16.5546875" style="359" bestFit="1" customWidth="1"/>
    <col min="15623" max="15873" width="8.88671875" style="359"/>
    <col min="15874" max="15874" width="7.33203125" style="359" customWidth="1"/>
    <col min="15875" max="15875" width="8.88671875" style="359"/>
    <col min="15876" max="15876" width="16.5546875" style="359" bestFit="1" customWidth="1"/>
    <col min="15877" max="15877" width="15" style="359" bestFit="1" customWidth="1"/>
    <col min="15878" max="15878" width="16.5546875" style="359" bestFit="1" customWidth="1"/>
    <col min="15879" max="16129" width="8.88671875" style="359"/>
    <col min="16130" max="16130" width="7.33203125" style="359" customWidth="1"/>
    <col min="16131" max="16131" width="8.88671875" style="359"/>
    <col min="16132" max="16132" width="16.5546875" style="359" bestFit="1" customWidth="1"/>
    <col min="16133" max="16133" width="15" style="359" bestFit="1" customWidth="1"/>
    <col min="16134" max="16134" width="16.5546875" style="359" bestFit="1" customWidth="1"/>
    <col min="16135" max="16384" width="8.88671875" style="359"/>
  </cols>
  <sheetData>
    <row r="1" spans="1:7">
      <c r="A1" s="362" t="s">
        <v>283</v>
      </c>
    </row>
    <row r="3" spans="1:7" ht="21">
      <c r="A3" s="1001" t="s">
        <v>257</v>
      </c>
      <c r="B3" s="1001"/>
      <c r="C3" s="1001"/>
      <c r="D3" s="1001"/>
      <c r="E3" s="1001"/>
      <c r="F3" s="1001"/>
      <c r="G3" s="1001"/>
    </row>
    <row r="4" spans="1:7" ht="15.6">
      <c r="A4" s="1002" t="s">
        <v>258</v>
      </c>
      <c r="B4" s="1002"/>
      <c r="C4" s="1002"/>
      <c r="D4" s="1002"/>
      <c r="E4" s="1002"/>
      <c r="F4" s="1002"/>
      <c r="G4" s="1002"/>
    </row>
    <row r="9" spans="1:7">
      <c r="C9" s="359" t="s">
        <v>284</v>
      </c>
    </row>
    <row r="10" spans="1:7">
      <c r="D10" s="359" t="s">
        <v>285</v>
      </c>
      <c r="E10" s="359" t="s">
        <v>201</v>
      </c>
    </row>
    <row r="11" spans="1:7">
      <c r="B11" s="375" t="s">
        <v>260</v>
      </c>
      <c r="C11" s="375">
        <v>60</v>
      </c>
      <c r="D11" s="376">
        <v>209157140</v>
      </c>
      <c r="E11" s="376">
        <v>108020.65</v>
      </c>
      <c r="F11" s="375"/>
    </row>
    <row r="12" spans="1:7">
      <c r="B12" s="375" t="s">
        <v>260</v>
      </c>
      <c r="C12" s="375">
        <v>360</v>
      </c>
      <c r="D12" s="376">
        <v>84246428</v>
      </c>
      <c r="E12" s="376">
        <v>43509.65</v>
      </c>
      <c r="F12" s="375"/>
    </row>
    <row r="13" spans="1:7">
      <c r="B13" s="375" t="s">
        <v>260</v>
      </c>
      <c r="C13" s="375">
        <v>390</v>
      </c>
      <c r="D13" s="376">
        <v>61843588</v>
      </c>
      <c r="E13" s="376">
        <v>31939.55</v>
      </c>
      <c r="F13" s="375"/>
    </row>
    <row r="14" spans="1:7">
      <c r="B14" s="375" t="s">
        <v>260</v>
      </c>
      <c r="C14" s="375">
        <v>430</v>
      </c>
      <c r="D14" s="376">
        <v>71079765</v>
      </c>
      <c r="E14" s="376">
        <v>36709.64</v>
      </c>
      <c r="F14" s="375"/>
    </row>
    <row r="15" spans="1:7">
      <c r="B15" s="375" t="s">
        <v>260</v>
      </c>
      <c r="C15" s="375">
        <v>530</v>
      </c>
      <c r="D15" s="376">
        <v>35125320</v>
      </c>
      <c r="E15" s="376">
        <v>18140.71</v>
      </c>
      <c r="F15" s="375"/>
    </row>
    <row r="16" spans="1:7">
      <c r="B16" s="375" t="s">
        <v>260</v>
      </c>
      <c r="C16" s="375">
        <v>590</v>
      </c>
      <c r="D16" s="376">
        <v>68626524</v>
      </c>
      <c r="E16" s="376">
        <v>35442.639999999999</v>
      </c>
      <c r="F16" s="375"/>
    </row>
    <row r="17" spans="2:6">
      <c r="B17" s="375" t="s">
        <v>260</v>
      </c>
      <c r="C17" s="375">
        <v>620</v>
      </c>
      <c r="D17" s="376">
        <v>35390462</v>
      </c>
      <c r="E17" s="376">
        <v>18277.650000000001</v>
      </c>
      <c r="F17" s="375"/>
    </row>
    <row r="18" spans="2:6">
      <c r="B18" s="375" t="s">
        <v>260</v>
      </c>
      <c r="C18" s="375">
        <v>640</v>
      </c>
      <c r="D18" s="376">
        <v>64652568</v>
      </c>
      <c r="E18" s="376">
        <v>33390.26</v>
      </c>
      <c r="F18" s="375"/>
    </row>
    <row r="19" spans="2:6">
      <c r="B19" s="375" t="s">
        <v>260</v>
      </c>
      <c r="C19" s="375">
        <v>780</v>
      </c>
      <c r="D19" s="376">
        <v>35811804</v>
      </c>
      <c r="E19" s="376">
        <v>18495.25</v>
      </c>
      <c r="F19" s="375"/>
    </row>
    <row r="20" spans="2:6">
      <c r="B20" s="375" t="s">
        <v>260</v>
      </c>
      <c r="C20" s="375">
        <v>840</v>
      </c>
      <c r="D20" s="376">
        <v>36599280</v>
      </c>
      <c r="E20" s="376">
        <v>18901.95</v>
      </c>
      <c r="F20" s="375"/>
    </row>
    <row r="21" spans="2:6">
      <c r="B21" s="375" t="s">
        <v>260</v>
      </c>
      <c r="C21" s="375">
        <v>980</v>
      </c>
      <c r="D21" s="376">
        <v>34123840</v>
      </c>
      <c r="E21" s="376">
        <v>17623.490000000002</v>
      </c>
      <c r="F21" s="375"/>
    </row>
    <row r="22" spans="2:6">
      <c r="B22" s="375" t="s">
        <v>260</v>
      </c>
      <c r="C22" s="375">
        <v>1030</v>
      </c>
      <c r="D22" s="376">
        <v>61515252</v>
      </c>
      <c r="E22" s="376">
        <v>31769.98</v>
      </c>
      <c r="F22" s="375"/>
    </row>
    <row r="23" spans="2:6">
      <c r="B23" s="375" t="s">
        <v>260</v>
      </c>
      <c r="C23" s="375">
        <v>1080</v>
      </c>
      <c r="D23" s="376">
        <v>33464400</v>
      </c>
      <c r="E23" s="376">
        <v>17282.919999999998</v>
      </c>
      <c r="F23" s="375"/>
    </row>
    <row r="24" spans="2:6">
      <c r="B24" s="375" t="s">
        <v>260</v>
      </c>
      <c r="C24" s="375">
        <v>1140</v>
      </c>
      <c r="D24" s="376">
        <v>30969684</v>
      </c>
      <c r="E24" s="376">
        <v>15994.51</v>
      </c>
      <c r="F24" s="375"/>
    </row>
    <row r="25" spans="2:6">
      <c r="B25" s="375" t="s">
        <v>260</v>
      </c>
      <c r="C25" s="375">
        <v>1410</v>
      </c>
      <c r="D25" s="376">
        <v>48973040</v>
      </c>
      <c r="E25" s="376">
        <v>25292.46</v>
      </c>
      <c r="F25" s="375"/>
    </row>
    <row r="26" spans="2:6">
      <c r="B26" s="375" t="s">
        <v>260</v>
      </c>
      <c r="C26" s="375">
        <v>68</v>
      </c>
      <c r="D26" s="376">
        <v>27846165</v>
      </c>
      <c r="E26" s="376">
        <v>14381.34</v>
      </c>
      <c r="F26" s="375"/>
    </row>
    <row r="27" spans="2:6">
      <c r="B27" s="375" t="s">
        <v>260</v>
      </c>
      <c r="C27" s="375">
        <v>365</v>
      </c>
      <c r="D27" s="376"/>
      <c r="E27" s="376">
        <v>0</v>
      </c>
      <c r="F27" s="375"/>
    </row>
    <row r="28" spans="2:6">
      <c r="B28" s="375" t="s">
        <v>260</v>
      </c>
      <c r="C28" s="375">
        <v>394</v>
      </c>
      <c r="D28" s="376">
        <v>6210170</v>
      </c>
      <c r="E28" s="376">
        <v>3207.29</v>
      </c>
      <c r="F28" s="375"/>
    </row>
    <row r="29" spans="2:6">
      <c r="B29" s="375" t="s">
        <v>260</v>
      </c>
      <c r="C29" s="375">
        <v>436</v>
      </c>
      <c r="D29" s="377">
        <v>22182059</v>
      </c>
      <c r="E29" s="376">
        <v>11456.08</v>
      </c>
      <c r="F29" s="375"/>
    </row>
    <row r="30" spans="2:6">
      <c r="B30" s="375" t="s">
        <v>260</v>
      </c>
      <c r="C30" s="375">
        <v>535</v>
      </c>
      <c r="D30" s="377">
        <v>7871996</v>
      </c>
      <c r="E30" s="376">
        <v>4065.55</v>
      </c>
      <c r="F30" s="375"/>
    </row>
    <row r="31" spans="2:6">
      <c r="B31" s="375" t="s">
        <v>260</v>
      </c>
      <c r="C31" s="375">
        <v>596</v>
      </c>
      <c r="D31" s="376">
        <v>7465546</v>
      </c>
      <c r="E31" s="376">
        <v>3855.63</v>
      </c>
      <c r="F31" s="375"/>
    </row>
    <row r="32" spans="2:6">
      <c r="B32" s="375" t="s">
        <v>260</v>
      </c>
      <c r="C32" s="375">
        <v>627</v>
      </c>
      <c r="D32" s="377">
        <v>9266802</v>
      </c>
      <c r="E32" s="376">
        <v>4785.8999999999996</v>
      </c>
      <c r="F32" s="375"/>
    </row>
    <row r="33" spans="2:6">
      <c r="B33" s="375" t="s">
        <v>260</v>
      </c>
      <c r="C33" s="375">
        <v>785</v>
      </c>
      <c r="D33" s="377">
        <v>8294996</v>
      </c>
      <c r="E33" s="376">
        <v>4284.01</v>
      </c>
      <c r="F33" s="375"/>
    </row>
    <row r="34" spans="2:6">
      <c r="B34" s="375" t="s">
        <v>260</v>
      </c>
      <c r="C34" s="375">
        <v>854</v>
      </c>
      <c r="D34" s="377">
        <v>6814496</v>
      </c>
      <c r="E34" s="376">
        <v>3519.39</v>
      </c>
      <c r="F34" s="375"/>
    </row>
    <row r="35" spans="2:6">
      <c r="B35" s="375" t="s">
        <v>260</v>
      </c>
      <c r="C35" s="375">
        <v>985</v>
      </c>
      <c r="D35" s="377">
        <v>11452951</v>
      </c>
      <c r="E35" s="376">
        <v>5914.96</v>
      </c>
      <c r="F35" s="375"/>
    </row>
    <row r="36" spans="2:6">
      <c r="B36" s="375" t="s">
        <v>260</v>
      </c>
      <c r="C36" s="375">
        <v>1037</v>
      </c>
      <c r="D36" s="377">
        <v>17762332</v>
      </c>
      <c r="E36" s="376">
        <v>9173.48</v>
      </c>
      <c r="F36" s="375"/>
    </row>
    <row r="37" spans="2:6">
      <c r="B37" s="375" t="s">
        <v>260</v>
      </c>
      <c r="C37" s="375">
        <v>1083</v>
      </c>
      <c r="D37" s="377">
        <v>9475631</v>
      </c>
      <c r="E37" s="376">
        <v>4893.76</v>
      </c>
      <c r="F37" s="375"/>
    </row>
    <row r="38" spans="2:6">
      <c r="B38" s="375" t="s">
        <v>260</v>
      </c>
      <c r="C38" s="375">
        <v>1144</v>
      </c>
      <c r="D38" s="377">
        <v>4673149</v>
      </c>
      <c r="E38" s="376">
        <v>2413.48</v>
      </c>
      <c r="F38" s="375"/>
    </row>
    <row r="39" spans="2:6">
      <c r="B39" s="378" t="s">
        <v>260</v>
      </c>
      <c r="C39" s="378">
        <v>1405</v>
      </c>
      <c r="D39" s="370">
        <v>3570667</v>
      </c>
      <c r="E39" s="376">
        <v>1844.1</v>
      </c>
    </row>
    <row r="40" spans="2:6">
      <c r="B40" s="379"/>
      <c r="C40" s="379"/>
      <c r="D40" s="370">
        <f>SUM(D11:D39)</f>
        <v>1054466055</v>
      </c>
      <c r="E40" s="370">
        <f>SUM(E11:E39)</f>
        <v>544586.28</v>
      </c>
      <c r="F40" s="364"/>
    </row>
    <row r="41" spans="2:6">
      <c r="B41" s="379"/>
      <c r="C41" s="379"/>
      <c r="D41" s="370"/>
    </row>
    <row r="42" spans="2:6">
      <c r="D42" s="370">
        <f>ROUND(E40*0.5%,2)</f>
        <v>2722.93</v>
      </c>
      <c r="E42" s="366">
        <v>5.0000000000000001E-3</v>
      </c>
    </row>
    <row r="43" spans="2:6">
      <c r="D43" s="370">
        <f>ROUND(E40*0.62%,2)</f>
        <v>3376.43</v>
      </c>
      <c r="E43" s="366">
        <v>6.1999999999999998E-3</v>
      </c>
    </row>
    <row r="44" spans="2:6">
      <c r="D44" s="364">
        <f>+D43+D42</f>
        <v>6099.36</v>
      </c>
      <c r="E44" s="359" t="s">
        <v>261</v>
      </c>
    </row>
  </sheetData>
  <mergeCells count="2">
    <mergeCell ref="A3:G3"/>
    <mergeCell ref="A4:G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Fondo2014Riall.fine2014D.492</vt:lpstr>
      <vt:lpstr>RIPART.FINALE 2014-Det.492-14</vt:lpstr>
      <vt:lpstr>FONDO 2014 iniziale det.7-14</vt:lpstr>
      <vt:lpstr>ripart provv iniz2014det.7-14</vt:lpstr>
      <vt:lpstr>aran 2014</vt:lpstr>
      <vt:lpstr>no LED 98</vt:lpstr>
      <vt:lpstr>monte salari 1997</vt:lpstr>
      <vt:lpstr>monte salari 1999</vt:lpstr>
      <vt:lpstr>monte salari 2001</vt:lpstr>
      <vt:lpstr>monte salari 2003</vt:lpstr>
      <vt:lpstr>monte salari 2005</vt:lpstr>
      <vt:lpstr>monte salari 2007</vt:lpstr>
      <vt:lpstr>progr 08</vt:lpstr>
      <vt:lpstr>Foglio10</vt:lpstr>
      <vt:lpstr>Foglio11</vt:lpstr>
      <vt:lpstr>'FONDO 2014 iniziale det.7-14'!Area_stampa</vt:lpstr>
      <vt:lpstr>Fondo2014Riall.fine2014D.492!Area_stampa</vt:lpstr>
      <vt:lpstr>'progr 08'!Area_stampa</vt:lpstr>
      <vt:lpstr>'ripart provv iniz2014det.7-14'!Area_stampa</vt:lpstr>
      <vt:lpstr>'RIPART.FINALE 2014-Det.492-14'!Area_stampa</vt:lpstr>
      <vt:lpstr>'monte salari 2005'!personale_2005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michelinacugusi</dc:creator>
  <cp:lastModifiedBy> </cp:lastModifiedBy>
  <cp:lastPrinted>2015-04-07T12:06:49Z</cp:lastPrinted>
  <dcterms:created xsi:type="dcterms:W3CDTF">2012-10-26T16:31:18Z</dcterms:created>
  <dcterms:modified xsi:type="dcterms:W3CDTF">2015-04-07T12:15:48Z</dcterms:modified>
</cp:coreProperties>
</file>